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8B2CDECC-58B3-468C-AECD-26CD57235FEE}"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Q32" i="1"/>
  <c r="AG35" i="1"/>
  <c r="AQ36" i="1"/>
  <c r="AQ33" i="1"/>
  <c r="AQ31" i="1"/>
  <c r="AQ23" i="1"/>
  <c r="AB35" i="1"/>
  <c r="AM34" i="1"/>
  <c r="AH34" i="1"/>
  <c r="AH31" i="1"/>
  <c r="AC34" i="1"/>
  <c r="X32" i="1"/>
  <c r="X31" i="1"/>
  <c r="W35" i="1"/>
  <c r="AQ37" i="1"/>
  <c r="AQ29" i="1"/>
  <c r="AQ28" i="1"/>
  <c r="AQ27" i="1"/>
  <c r="AQ26" i="1"/>
  <c r="AQ25" i="1"/>
  <c r="AQ24" i="1"/>
  <c r="AQ22" i="1"/>
  <c r="AQ20" i="1"/>
  <c r="AQ19" i="1"/>
  <c r="AQ18" i="1"/>
  <c r="AQ17" i="1"/>
  <c r="AQ16" i="1"/>
  <c r="AP35" i="1"/>
  <c r="W34" i="1"/>
  <c r="AP37" i="1"/>
  <c r="AK37" i="1"/>
  <c r="AM37" i="1" s="1"/>
  <c r="AF37" i="1"/>
  <c r="AH37" i="1" s="1"/>
  <c r="AA37" i="1"/>
  <c r="AC37" i="1" s="1"/>
  <c r="V37" i="1"/>
  <c r="X37" i="1" s="1"/>
  <c r="AP36" i="1"/>
  <c r="AR36" i="1" s="1"/>
  <c r="AK36" i="1"/>
  <c r="AM36" i="1" s="1"/>
  <c r="AF36" i="1"/>
  <c r="AH36" i="1" s="1"/>
  <c r="AA36" i="1"/>
  <c r="AC36" i="1" s="1"/>
  <c r="V36" i="1"/>
  <c r="X36" i="1" s="1"/>
  <c r="AK35" i="1"/>
  <c r="AM35" i="1" s="1"/>
  <c r="AF35" i="1"/>
  <c r="AH35" i="1" s="1"/>
  <c r="AA35" i="1"/>
  <c r="AC35" i="1" s="1"/>
  <c r="V35" i="1"/>
  <c r="AP33" i="1"/>
  <c r="AR33" i="1" s="1"/>
  <c r="AK33" i="1"/>
  <c r="AM33" i="1" s="1"/>
  <c r="AF33" i="1"/>
  <c r="AH33" i="1" s="1"/>
  <c r="AA33" i="1"/>
  <c r="AC33" i="1" s="1"/>
  <c r="V33" i="1"/>
  <c r="X33" i="1" s="1"/>
  <c r="AP32" i="1"/>
  <c r="AR32" i="1" s="1"/>
  <c r="AK32" i="1"/>
  <c r="AM32" i="1" s="1"/>
  <c r="AF32" i="1"/>
  <c r="AH32" i="1" s="1"/>
  <c r="AH38" i="1" s="1"/>
  <c r="AA32" i="1"/>
  <c r="AC32" i="1" s="1"/>
  <c r="AP31" i="1"/>
  <c r="AR31" i="1" s="1"/>
  <c r="AK31" i="1"/>
  <c r="AM31" i="1" s="1"/>
  <c r="AA31" i="1"/>
  <c r="AC31" i="1" s="1"/>
  <c r="AC38" i="1" l="1"/>
  <c r="AQ34" i="1"/>
  <c r="AR34" i="1" s="1"/>
  <c r="X34" i="1"/>
  <c r="AR37" i="1"/>
  <c r="AQ35" i="1"/>
  <c r="X35" i="1"/>
  <c r="X38" i="1"/>
  <c r="P24" i="1"/>
  <c r="P25" i="1"/>
  <c r="P26" i="1"/>
  <c r="AP26" i="1" s="1"/>
  <c r="AR26" i="1" s="1"/>
  <c r="P27" i="1"/>
  <c r="AP27" i="1" s="1"/>
  <c r="AR27" i="1" s="1"/>
  <c r="P28" i="1"/>
  <c r="P29" i="1"/>
  <c r="P23" i="1"/>
  <c r="P22" i="1"/>
  <c r="P21" i="1"/>
  <c r="AR35" i="1" l="1"/>
  <c r="AR38" i="1" s="1"/>
  <c r="AM38" i="1"/>
  <c r="P20" i="1"/>
  <c r="P19" i="1"/>
  <c r="P18" i="1"/>
  <c r="P17" i="1"/>
  <c r="AP17" i="1" s="1"/>
  <c r="AR17" i="1" s="1"/>
  <c r="P16" i="1"/>
  <c r="AP16" i="1" l="1"/>
  <c r="AR16" i="1" s="1"/>
  <c r="AK16" i="1"/>
  <c r="AM16" i="1" s="1"/>
  <c r="AP29" i="1"/>
  <c r="AR29" i="1" s="1"/>
  <c r="AP28" i="1"/>
  <c r="AR28" i="1" s="1"/>
  <c r="AP25" i="1"/>
  <c r="AR25" i="1" s="1"/>
  <c r="AP24" i="1"/>
  <c r="AR24" i="1" s="1"/>
  <c r="AP23" i="1"/>
  <c r="AR23" i="1" s="1"/>
  <c r="AP22" i="1"/>
  <c r="AR22" i="1" s="1"/>
  <c r="AP21" i="1"/>
  <c r="AR21" i="1" s="1"/>
  <c r="AP20" i="1"/>
  <c r="AR20" i="1" s="1"/>
  <c r="AP19" i="1"/>
  <c r="AR19" i="1" s="1"/>
  <c r="AP18" i="1"/>
  <c r="AR18"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AR30" i="1" l="1"/>
  <c r="X30" i="1"/>
  <c r="X39" i="1" s="1"/>
  <c r="AR39" i="1"/>
  <c r="AM30" i="1"/>
  <c r="AM39" i="1" s="1"/>
  <c r="AH30" i="1"/>
  <c r="AH39" i="1" s="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<sst xmlns="http://schemas.openxmlformats.org/spreadsheetml/2006/main" count="547" uniqueCount="316">
  <si>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</si>
  <si>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</si>
  <si>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</si>
  <si>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</si>
  <si>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</si>
  <si>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</si>
  <si>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</si>
  <si>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29 de enero de 2025</t>
  </si>
  <si>
    <t>Publicación del plan de gestión aprobado. Caso HOLA: 116462</t>
  </si>
  <si>
    <t>16 de abril de 2025</t>
  </si>
  <si>
    <t>Para el primer trimestre de la vigencia 2025, el Plan de Gestión de la alcaldia local  de Rafael Uribe Uribe alcanzó un nivel de desempeño del 86,87% y del 32,80%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</si>
  <si>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</si>
  <si>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Rafael Uribe Uribe alcanzó un nivel de desempeño del 84,25% y del 32,14% acumulado para la vigenc</t>
  </si>
  <si>
    <t>16 de junio de 2025</t>
  </si>
  <si>
    <r>
      <rPr>
        <sz val="11"/>
        <color rgb="FF000000"/>
        <rFont val="Calibri Light"/>
        <scheme val="major"/>
      </rPr>
      <t xml:space="preserve">Se realiza ajuste a la programacion de las metas tecnicas 9 y 10, atendiendo la solicitud de la alcaldia con radicado No  20256830111503 y la viabilidad dada por  la Dra Camila Cortes Daza, Directora para la  Gestion Policiva de fecha 12 de junio, al igual,  teniendo en cuenta las justificaciones dadas. </t>
    </r>
    <r>
      <rPr>
        <b/>
        <sz val="11"/>
        <color rgb="FF000000"/>
        <rFont val="Calibri Light"/>
        <scheme val="major"/>
      </rPr>
      <t>Caso Hola No 162798</t>
    </r>
  </si>
  <si>
    <t>28 de julio de 2025</t>
  </si>
  <si>
    <t>Para el II trimestre de la vigencia 2025, el Plan de Gestión de la alcaldia local  de Rafael Uribe Uribe alcanzó un nivel de desempeño del 80,35% y del 48,71% acumulado para la vigencia.</t>
  </si>
  <si>
    <t>15 de octubre de 2025</t>
  </si>
  <si>
    <t>Para el II trimestre de la vigencia 2025, el Plan de Gestión de la alcaldia local  de Rafael Uribe Uribe alcanzó un nivel de desempeño del 84,81% y del 70,54%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</si>
  <si>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</si>
  <si>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</si>
  <si>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</si>
  <si>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</si>
  <si>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</si>
  <si>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</si>
  <si>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</si>
  <si>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</si>
  <si>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</si>
  <si>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</si>
  <si>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</si>
  <si>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</si>
  <si>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</si>
  <si>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</si>
  <si>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</si>
  <si>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</si>
  <si>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</si>
  <si>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</si>
  <si>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</si>
  <si>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</si>
  <si>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</si>
  <si>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</si>
  <si>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</si>
  <si>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</si>
  <si>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</si>
  <si>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</si>
  <si>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</si>
  <si>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</si>
  <si>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</si>
  <si>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</si>
  <si>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</si>
  <si>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</si>
  <si>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</si>
  <si>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</si>
  <si>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</si>
  <si>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</si>
  <si>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</si>
  <si>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</si>
  <si>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</si>
  <si>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</si>
  <si>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</si>
  <si>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</si>
  <si>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</si>
  <si>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</si>
  <si>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</si>
  <si>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</si>
  <si>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</si>
  <si>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</si>
  <si>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</si>
  <si>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Subsecretaría de Gestión Local - Dirección para la Gestión del Desarrollo Local</t>
  </si>
  <si>
    <t>Meta no programada</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</si>
  <si>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</si>
  <si>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</si>
  <si>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</si>
  <si>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</si>
  <si>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</si>
  <si>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16,25%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</si>
  <si>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</si>
  <si>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</si>
  <si>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</si>
  <si>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</si>
  <si>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</si>
  <si>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</si>
  <si>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</si>
  <si>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</si>
  <si>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</si>
  <si>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</si>
  <si>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</si>
  <si>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metas plan  de Gestion de la DGDL</t>
  </si>
  <si>
    <t>Se superó la meta programada para el 2do trimestre</t>
  </si>
  <si>
    <t>Se superó la meta programada para el 3er trimestre</t>
  </si>
  <si>
    <t>Reporte ejecución Bogdata corte 30-09-2025</t>
  </si>
  <si>
    <t>La meta alcanzó un 92,93%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</si>
  <si>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</si>
  <si>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</si>
  <si>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</si>
  <si>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</si>
  <si>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</si>
  <si>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supero la meta progrmada </t>
  </si>
  <si>
    <t>No se cumple con la meta programada para el 3er trimestre</t>
  </si>
  <si>
    <t>La meta alcanzó un 52,60%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</si>
  <si>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</si>
  <si>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</si>
  <si>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</si>
  <si>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</si>
  <si>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</si>
  <si>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</si>
  <si>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</si>
  <si>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</si>
  <si>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</si>
  <si>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56,70%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</si>
  <si>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</si>
  <si>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</si>
  <si>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</si>
  <si>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</si>
  <si>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</si>
  <si>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No alcanzo a cumplir la meta programada</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</si>
  <si>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</si>
  <si>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</si>
  <si>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</si>
  <si>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64,71%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</si>
  <si>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</si>
  <si>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</si>
  <si>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</si>
  <si>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</si>
  <si>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</si>
  <si>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</si>
  <si>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</si>
  <si>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</si>
  <si>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</si>
  <si>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</si>
  <si>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75,00%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</si>
  <si>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</si>
  <si>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</si>
  <si>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</si>
  <si>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</si>
  <si>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</si>
  <si>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</si>
  <si>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presentó avance cualitativo del 41% de las metas establecidas para la vigencia.
Se evidencia que tiene 13 proyectos a las cuales no se les ha cargado las metas y se encuentran desconciliados.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</si>
  <si>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</si>
  <si>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</si>
  <si>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</si>
  <si>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87,00% del programado para la vigencia.</t>
  </si>
  <si>
    <t>Inspección, Vigilancia y Control</t>
  </si>
  <si>
    <t>8</t>
  </si>
  <si>
    <t>Realizar 19.324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</si>
  <si>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</si>
  <si>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</si>
  <si>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</si>
  <si>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</si>
  <si>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</si>
  <si>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</si>
  <si>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</si>
  <si>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Subsecretaría de Gestión Local - Dirección para la Gestión Policiva</t>
  </si>
  <si>
    <t xml:space="preserve">expedientes a cargo de las Inspecciones de Policia </t>
  </si>
  <si>
    <t>Reporte de la DGP radicado  20252200137553</t>
  </si>
  <si>
    <t xml:space="preserve">Expedientes a cargo de las Inspecciones de Policia impulsados </t>
  </si>
  <si>
    <t>Reporte de la DGP para las metas del Plan de Gestin de las alcaldias locales segun radicado No 20252200258243</t>
  </si>
  <si>
    <t>Más el 105% de lo programado</t>
  </si>
  <si>
    <t>Reporte de seguimiento de impulsos procesales. Aplicativo ARCO</t>
  </si>
  <si>
    <t>La meta alcanzó un 100,00% del programado para la vigencia.</t>
  </si>
  <si>
    <t>9</t>
  </si>
  <si>
    <t>Proferir 3.708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</si>
  <si>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</si>
  <si>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</si>
  <si>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</si>
  <si>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</si>
  <si>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primera instancia proferidos </t>
  </si>
  <si>
    <t>Más el 86% de lo programado</t>
  </si>
  <si>
    <t>Reporte de seguimiento de fallos de fondo de actuaciones de policía. Aplicativo ARCO</t>
  </si>
  <si>
    <t>10</t>
  </si>
  <si>
    <t>Terminar (archivar) 180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</si>
  <si>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</si>
  <si>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</si>
  <si>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</si>
  <si>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</si>
  <si>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</si>
  <si>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 administrativa </t>
  </si>
  <si>
    <t xml:space="preserve">Actuaciones administrativas terminadas archivadas </t>
  </si>
  <si>
    <t>Más el 120% de lo programado</t>
  </si>
  <si>
    <t>Reporte de seguimiento de actuaciones administrativas terminadas. Aplicativo SI ACTUA</t>
  </si>
  <si>
    <t>La meta alcanzó un 56,11%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</si>
  <si>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</si>
  <si>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</si>
  <si>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</si>
  <si>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</si>
  <si>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</si>
  <si>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 administrativas terminadas </t>
  </si>
  <si>
    <t xml:space="preserve">Actuaciones administrativas en primera instancia  </t>
  </si>
  <si>
    <t>Menos el 39% de lo programado</t>
  </si>
  <si>
    <t>Reporte de seguimiento de actuaciones administrativas terminadas por vía gubernativa. Aplicativo SI ACTUA</t>
  </si>
  <si>
    <t>La meta alcanzó un 63,50% del programado para la vigencia.</t>
  </si>
  <si>
    <t>12</t>
  </si>
  <si>
    <t>Realizar 144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</si>
  <si>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</si>
  <si>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</si>
  <si>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</si>
  <si>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</si>
  <si>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</si>
  <si>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55 Operativos de IVC en materia de Espacio Público en el primer trimestre, para una ejecución superior al 100% respecto a lo programado para dicho periodo de tiempo.</t>
  </si>
  <si>
    <t xml:space="preserve">Actas de evidencia </t>
  </si>
  <si>
    <t>Se realizaron 62 Operativos de IVC en materia de Espacio Público en el segundo trimestre, para una ejecución superior al 100% respecto a lo programado para dicho periodo de tiempo.</t>
  </si>
  <si>
    <t xml:space="preserve">Actas operativos </t>
  </si>
  <si>
    <t>Se realizaron 49 Operativos de IVC en materia de Espacio Público en el segundo trimestre, para una ejecución superior al 100% respecto a lo programado para dicho periodo de tiempo.</t>
  </si>
  <si>
    <t>Actas de operativos de IVC en materia de Espacio Público.</t>
  </si>
  <si>
    <t>13</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</si>
  <si>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</si>
  <si>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</si>
  <si>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</si>
  <si>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</si>
  <si>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51 Operativos de IVC en materia de Actividad Económica en el primer trimestre, para una ejecución superior al 100% respecto a lo programado para dicho periodo de tiempo.</t>
  </si>
  <si>
    <t>Se realizaron 100 Operativos de IVC en materia de Actividad Económica en el segundo trimestre, para una ejecución superior al 100% respecto a lo programado para dicho periodo de tiempo.</t>
  </si>
  <si>
    <t>Se realizaron 81 Operativos de IVC en materia de Actividad Económica en el segundo trimestre, para una ejecución superior al 100% respecto a lo programado para dicho periodo de tiempo.
SE VALIDAN 80 SOPORTES PRESENTADOS</t>
  </si>
  <si>
    <t>Actas de operativos de IVC en materia de Actividad Económica.</t>
  </si>
  <si>
    <t>La meta alcanzó un 99,14% del programado para la vigencia.</t>
  </si>
  <si>
    <t>14</t>
  </si>
  <si>
    <t>Realizar 122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</si>
  <si>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</si>
  <si>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</si>
  <si>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</si>
  <si>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37 Operativos de IVC  correspendiente al componente ambiental en el primer trimestre, para una ejecución superior al 100% respecto a lo programado.</t>
  </si>
  <si>
    <t>Se realizaron 38 Operativos de IVC correspendiente al componente ambiental en el segundo trimestre, para una ejecución superior al 100% respecto a lo programado.</t>
  </si>
  <si>
    <t>Se realizaron 38 Operativos de IVC  correspendiente al componente ambiental en el segundo trimestre, para una ejecución superior al 100% respecto a lo programado.</t>
  </si>
  <si>
    <t xml:space="preserve">Actas de operativos de IVC  Decreto 014 , Bodegas de reciclaje y llantas. </t>
  </si>
  <si>
    <t>La meta alcanzó un 55,23%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</si>
  <si>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</si>
  <si>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</si>
  <si>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</si>
  <si>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</si>
  <si>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</si>
  <si>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</si>
  <si>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</si>
  <si>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</si>
  <si>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</si>
  <si>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</si>
  <si>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</si>
  <si>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</si>
  <si>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</si>
  <si>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</si>
  <si>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Presenta reportes  a corte de junio para energía, sin embargo, no hay reporte de mayo y para agua se tiene reporte hasta el mes de abril 
Reporte de consumo de papel: No presenta reporte para la vigencia 2025
Reporte de ciclistas: No presenta reporte para la vigencia 2025</t>
  </si>
  <si>
    <t>Reporte meta ambiental de la OAP</t>
  </si>
  <si>
    <t>No programada</t>
  </si>
  <si>
    <t>La meta alcanzó un 37,50%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</si>
  <si>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</si>
  <si>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</si>
  <si>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</si>
  <si>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</si>
  <si>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</si>
  <si>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</si>
  <si>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</si>
  <si>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</si>
  <si>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</si>
  <si>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</si>
  <si>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</si>
  <si>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</si>
  <si>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</si>
  <si>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Rafael Uribe, cumplió 99 requisitos, de los 104 que debe cumplir para el tirmestre relacionado; marcó como desactualizados los puntos: 7.1.1 - 7.1.2 -7.1.3 - 7.1.4 - 7.1.5 = 5 en total.</t>
  </si>
  <si>
    <t>Reporte meta de la Oficina asesora de comunicaciones para las alcaldias locales segun radicado No 20251400254903</t>
  </si>
  <si>
    <t>La Alcaldía Local de Rafael Uribe, cumplió 99 requisitos, de los 104 que debe cumplir para el trimestre relacionado; marcó como desactualizados los puntos: 7.1.1 - 7.1.2 -7.1.3 - 7.1.4 - 7.1.5 = 5 en total.</t>
  </si>
  <si>
    <t>Reporte de la Oficina Asesora de Comunicaciones a través de memorando 20251400383993.</t>
  </si>
  <si>
    <t>La meta alcanzó un 63,78%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</si>
  <si>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</si>
  <si>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</si>
  <si>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</si>
  <si>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</si>
  <si>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</si>
  <si>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</si>
  <si>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</si>
  <si>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</si>
  <si>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</si>
  <si>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</si>
  <si>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</si>
  <si>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</si>
  <si>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</si>
  <si>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</si>
  <si>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</si>
  <si>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</si>
  <si>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</si>
  <si>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</si>
  <si>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</si>
  <si>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96 requerimientos de los 97 instaurados. </t>
  </si>
  <si>
    <t>segun radicado Radicado No. 20254600138593
Fecha: 07-04-2025 de la oficina de atencion al ciudadano y Radicado No. 20254600193883
Fecha: 23-05-2025</t>
  </si>
  <si>
    <t>No programado</t>
  </si>
  <si>
    <t>La meta alcanzó un 96,30%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</si>
  <si>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</si>
  <si>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</si>
  <si>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</si>
  <si>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</si>
  <si>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</si>
  <si>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</si>
  <si>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</si>
  <si>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 27  requerimientos de los 60 instaurados para el periodo </t>
  </si>
  <si>
    <t xml:space="preserve">Dio respuesta a 89 requerimientos de los 121 instaurados para el periodo </t>
  </si>
  <si>
    <t>Reporte meta de la Oficina Atencion al ciudadano sobre requerimientos ciudadanos  para las alcaldias locales segun radicado No 20254600258433</t>
  </si>
  <si>
    <t>Se repondió oportunamente 102 de 117 requerimientos.</t>
  </si>
  <si>
    <t>Reporte de la Subsecretaría de Gestión Institucional - Servicio de Atención a la Ciudadanía a través de memorando 20254600383923.</t>
  </si>
  <si>
    <t>La meta alcanzó un 51,43%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</si>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</sst>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242424"/>
      <name val="Aptos Narrow"/>
      <charset val="1"/>
    </font>
    <font>
      <sz val="11"/>
      <color rgb="FF000000"/>
      <name val="Calibri Light"/>
      <family val="2"/>
    </font>
    <font>
      <sz val="11"/>
      <color rgb="FF000000"/>
      <name val="Calibri Light"/>
      <scheme val="major"/>
    </font>
    <font>
      <b/>
      <sz val="11"/>
      <color rgb="FF000000"/>
      <name val="Calibri Light"/>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5" fillId="0" borderId="1" xfId="1" applyNumberFormat="1" applyFont="1" applyBorder="1" applyAlignment="1">
      <alignment horizontal="right" vertical="center" wrapText="1"/>
    </xf>
    <xf numFmtId="0" fontId="17" fillId="0" borderId="1" xfId="0" applyFont="1" applyBorder="1" applyAlignment="1">
      <alignment vertical="center" wrapText="1"/>
    </xf>
    <xf numFmtId="164"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10" fontId="1" fillId="9" borderId="1" xfId="0" applyNumberFormat="1" applyFont="1" applyFill="1" applyBorder="1" applyAlignment="1">
      <alignment horizontal="right" vertical="center" wrapText="1"/>
    </xf>
    <xf numFmtId="0" fontId="16" fillId="0" borderId="0" xfId="0" applyFont="1" applyAlignment="1">
      <alignment vertical="center" wrapText="1"/>
    </xf>
    <xf numFmtId="10" fontId="5" fillId="9" borderId="1" xfId="1" applyNumberFormat="1" applyFont="1" applyFill="1" applyBorder="1" applyAlignment="1">
      <alignment horizontal="right" vertical="center" wrapText="1"/>
    </xf>
    <xf numFmtId="0" fontId="17" fillId="0" borderId="2" xfId="0" applyFont="1" applyBorder="1" applyAlignment="1">
      <alignment vertical="center" wrapText="1"/>
    </xf>
    <xf numFmtId="164" fontId="7" fillId="3" borderId="1" xfId="1" applyNumberFormat="1" applyFont="1" applyFill="1" applyBorder="1" applyAlignment="1">
      <alignment horizontal="right" wrapText="1"/>
    </xf>
    <xf numFmtId="2" fontId="5" fillId="9"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4" zoomScaleNormal="100" workbookViewId="0">
      <selection activeCell="AK1" sqref="AK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7.28515625" style="1" customWidth="1"/>
    <col min="9" max="9" width="11.5703125" style="1" customWidth="1"/>
    <col min="10" max="10" width="18.42578125" style="1" customWidth="1"/>
    <col min="11" max="11" width="18.1406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c r="A1" s="97" t="s">
        <v>0</v>
      </c>
      <c r="B1" s="98"/>
      <c r="C1" s="98"/>
      <c r="D1" s="98"/>
      <c r="E1" s="98"/>
      <c r="F1" s="98"/>
      <c r="G1" s="98"/>
      <c r="H1" s="98"/>
      <c r="I1" s="98"/>
      <c r="J1" s="98"/>
      <c r="K1" s="98"/>
      <c r="L1" s="99" t="s">
        <v>1</v>
      </c>
      <c r="M1" s="99"/>
      <c r="N1" s="99"/>
      <c r="O1" s="99"/>
      <c r="P1" s="99"/>
    </row>
    <row r="2" spans="1:45" s="38" customFormat="1" ht="23.45" customHeight="1">
      <c r="A2" s="101" t="s">
        <v>2</v>
      </c>
      <c r="B2" s="102"/>
      <c r="C2" s="102"/>
      <c r="D2" s="102"/>
      <c r="E2" s="102"/>
      <c r="F2" s="102"/>
      <c r="G2" s="102"/>
      <c r="H2" s="102"/>
      <c r="I2" s="102"/>
      <c r="J2" s="102"/>
      <c r="K2" s="102"/>
      <c r="L2" s="37"/>
      <c r="M2" s="37"/>
      <c r="N2" s="37"/>
      <c r="O2" s="37"/>
      <c r="P2" s="37"/>
    </row>
    <row r="3" spans="1:45" s="36" customFormat="1"/>
    <row r="4" spans="1:45" s="36" customFormat="1" ht="29.1" customHeight="1">
      <c r="F4" s="90" t="s">
        <v>3</v>
      </c>
      <c r="G4" s="91"/>
      <c r="H4" s="91"/>
      <c r="I4" s="91"/>
      <c r="J4" s="91"/>
      <c r="K4" s="92"/>
    </row>
    <row r="5" spans="1:45" s="36" customFormat="1" ht="15" customHeight="1">
      <c r="F5" s="2" t="s">
        <v>4</v>
      </c>
      <c r="G5" s="2" t="s">
        <v>5</v>
      </c>
      <c r="H5" s="90" t="s">
        <v>6</v>
      </c>
      <c r="I5" s="91"/>
      <c r="J5" s="91"/>
      <c r="K5" s="92"/>
    </row>
    <row r="6" spans="1:45" s="36" customFormat="1">
      <c r="F6" s="35">
        <v>1</v>
      </c>
      <c r="G6" s="35" t="s">
        <v>7</v>
      </c>
      <c r="H6" s="93" t="s">
        <v>8</v>
      </c>
      <c r="I6" s="93"/>
      <c r="J6" s="93"/>
      <c r="K6" s="93"/>
    </row>
    <row r="7" spans="1:45" s="36" customFormat="1" ht="47.25" customHeight="1">
      <c r="F7" s="35">
        <v>2</v>
      </c>
      <c r="G7" s="35" t="s">
        <v>9</v>
      </c>
      <c r="H7" s="93" t="s">
        <v>10</v>
      </c>
      <c r="I7" s="93"/>
      <c r="J7" s="93"/>
      <c r="K7" s="93"/>
    </row>
    <row r="8" spans="1:45" s="36" customFormat="1" ht="68.25" customHeight="1">
      <c r="F8" s="35">
        <v>3</v>
      </c>
      <c r="G8" s="35" t="s">
        <v>11</v>
      </c>
      <c r="H8" s="93" t="s">
        <v>12</v>
      </c>
      <c r="I8" s="93"/>
      <c r="J8" s="93"/>
      <c r="K8" s="93"/>
    </row>
    <row r="9" spans="1:45" s="36" customFormat="1" ht="72" customHeight="1">
      <c r="F9" s="35">
        <v>4</v>
      </c>
      <c r="G9" s="35" t="s">
        <v>13</v>
      </c>
      <c r="H9" s="94" t="s">
        <v>14</v>
      </c>
      <c r="I9" s="95"/>
      <c r="J9" s="95"/>
      <c r="K9" s="96"/>
    </row>
    <row r="10" spans="1:45" s="36" customFormat="1" ht="59.25" customHeight="1">
      <c r="F10" s="35">
        <v>5</v>
      </c>
      <c r="G10" s="35" t="s">
        <v>15</v>
      </c>
      <c r="H10" s="103" t="s">
        <v>16</v>
      </c>
      <c r="I10" s="103"/>
      <c r="J10" s="103"/>
      <c r="K10" s="103"/>
    </row>
    <row r="11" spans="1:45" s="36" customFormat="1" ht="59.25" customHeight="1">
      <c r="F11" s="35">
        <v>6</v>
      </c>
      <c r="G11" s="35" t="s">
        <v>17</v>
      </c>
      <c r="H11" s="103" t="s">
        <v>18</v>
      </c>
      <c r="I11" s="103"/>
      <c r="J11" s="103"/>
      <c r="K11" s="103"/>
    </row>
    <row r="12" spans="1:45" s="36" customFormat="1"/>
    <row r="13" spans="1:45" ht="14.45" customHeight="1">
      <c r="A13" s="89" t="s">
        <v>19</v>
      </c>
      <c r="B13" s="89"/>
      <c r="C13" s="89" t="s">
        <v>20</v>
      </c>
      <c r="D13" s="89" t="s">
        <v>21</v>
      </c>
      <c r="E13" s="89"/>
      <c r="F13" s="89"/>
      <c r="G13" s="100" t="s">
        <v>22</v>
      </c>
      <c r="H13" s="100"/>
      <c r="I13" s="100"/>
      <c r="J13" s="100"/>
      <c r="K13" s="100"/>
      <c r="L13" s="100"/>
      <c r="M13" s="100"/>
      <c r="N13" s="100"/>
      <c r="O13" s="100"/>
      <c r="P13" s="100"/>
      <c r="Q13" s="100"/>
      <c r="R13" s="89" t="s">
        <v>23</v>
      </c>
      <c r="S13" s="89"/>
      <c r="T13" s="89"/>
      <c r="U13" s="89"/>
      <c r="V13" s="104" t="s">
        <v>24</v>
      </c>
      <c r="W13" s="105"/>
      <c r="X13" s="105"/>
      <c r="Y13" s="105"/>
      <c r="Z13" s="106"/>
      <c r="AA13" s="110" t="s">
        <v>25</v>
      </c>
      <c r="AB13" s="111"/>
      <c r="AC13" s="111"/>
      <c r="AD13" s="111"/>
      <c r="AE13" s="112"/>
      <c r="AF13" s="116" t="s">
        <v>26</v>
      </c>
      <c r="AG13" s="117"/>
      <c r="AH13" s="117"/>
      <c r="AI13" s="117"/>
      <c r="AJ13" s="118"/>
      <c r="AK13" s="122" t="s">
        <v>27</v>
      </c>
      <c r="AL13" s="123"/>
      <c r="AM13" s="123"/>
      <c r="AN13" s="123"/>
      <c r="AO13" s="124"/>
      <c r="AP13" s="128" t="s">
        <v>28</v>
      </c>
      <c r="AQ13" s="129"/>
      <c r="AR13" s="129"/>
      <c r="AS13" s="130"/>
    </row>
    <row r="14" spans="1:45" ht="14.45" customHeight="1">
      <c r="A14" s="89"/>
      <c r="B14" s="89"/>
      <c r="C14" s="89"/>
      <c r="D14" s="89"/>
      <c r="E14" s="89"/>
      <c r="F14" s="89"/>
      <c r="G14" s="100"/>
      <c r="H14" s="100"/>
      <c r="I14" s="100"/>
      <c r="J14" s="100"/>
      <c r="K14" s="100"/>
      <c r="L14" s="100"/>
      <c r="M14" s="100"/>
      <c r="N14" s="100"/>
      <c r="O14" s="100"/>
      <c r="P14" s="100"/>
      <c r="Q14" s="100"/>
      <c r="R14" s="89"/>
      <c r="S14" s="89"/>
      <c r="T14" s="89"/>
      <c r="U14" s="89"/>
      <c r="V14" s="107"/>
      <c r="W14" s="108"/>
      <c r="X14" s="108"/>
      <c r="Y14" s="108"/>
      <c r="Z14" s="109"/>
      <c r="AA14" s="113"/>
      <c r="AB14" s="114"/>
      <c r="AC14" s="114"/>
      <c r="AD14" s="114"/>
      <c r="AE14" s="115"/>
      <c r="AF14" s="119"/>
      <c r="AG14" s="120"/>
      <c r="AH14" s="120"/>
      <c r="AI14" s="120"/>
      <c r="AJ14" s="121"/>
      <c r="AK14" s="125"/>
      <c r="AL14" s="126"/>
      <c r="AM14" s="126"/>
      <c r="AN14" s="126"/>
      <c r="AO14" s="127"/>
      <c r="AP14" s="131"/>
      <c r="AQ14" s="132"/>
      <c r="AR14" s="132"/>
      <c r="AS14" s="133"/>
    </row>
    <row r="15" spans="1:45" ht="50.25">
      <c r="A15" s="2" t="s">
        <v>29</v>
      </c>
      <c r="B15" s="2" t="s">
        <v>30</v>
      </c>
      <c r="C15" s="89"/>
      <c r="D15" s="2" t="s">
        <v>31</v>
      </c>
      <c r="E15" s="2" t="s">
        <v>32</v>
      </c>
      <c r="F15" s="2" t="s">
        <v>33</v>
      </c>
      <c r="G15" s="20" t="s">
        <v>34</v>
      </c>
      <c r="H15" s="20" t="s">
        <v>35</v>
      </c>
      <c r="I15" s="20" t="s">
        <v>36</v>
      </c>
      <c r="J15" s="20" t="s">
        <v>37</v>
      </c>
      <c r="K15" s="20" t="s">
        <v>38</v>
      </c>
      <c r="L15" s="20" t="s">
        <v>39</v>
      </c>
      <c r="M15" s="20" t="s">
        <v>40</v>
      </c>
      <c r="N15" s="20" t="s">
        <v>41</v>
      </c>
      <c r="O15" s="20" t="s">
        <v>42</v>
      </c>
      <c r="P15" s="20" t="s">
        <v>43</v>
      </c>
      <c r="Q15" s="20" t="s">
        <v>44</v>
      </c>
      <c r="R15" s="2" t="s">
        <v>45</v>
      </c>
      <c r="S15" s="2" t="s">
        <v>46</v>
      </c>
      <c r="T15" s="2" t="s">
        <v>47</v>
      </c>
      <c r="U15" s="2" t="s">
        <v>48</v>
      </c>
      <c r="V15" s="3" t="s">
        <v>49</v>
      </c>
      <c r="W15" s="3" t="s">
        <v>50</v>
      </c>
      <c r="X15" s="3" t="s">
        <v>51</v>
      </c>
      <c r="Y15" s="3" t="s">
        <v>52</v>
      </c>
      <c r="Z15" s="3" t="s">
        <v>53</v>
      </c>
      <c r="AA15" s="23" t="s">
        <v>49</v>
      </c>
      <c r="AB15" s="23" t="s">
        <v>50</v>
      </c>
      <c r="AC15" s="23" t="s">
        <v>51</v>
      </c>
      <c r="AD15" s="23" t="s">
        <v>52</v>
      </c>
      <c r="AE15" s="23" t="s">
        <v>53</v>
      </c>
      <c r="AF15" s="24" t="s">
        <v>49</v>
      </c>
      <c r="AG15" s="24" t="s">
        <v>50</v>
      </c>
      <c r="AH15" s="24" t="s">
        <v>51</v>
      </c>
      <c r="AI15" s="24" t="s">
        <v>52</v>
      </c>
      <c r="AJ15" s="24" t="s">
        <v>53</v>
      </c>
      <c r="AK15" s="25" t="s">
        <v>49</v>
      </c>
      <c r="AL15" s="25" t="s">
        <v>50</v>
      </c>
      <c r="AM15" s="25" t="s">
        <v>51</v>
      </c>
      <c r="AN15" s="25" t="s">
        <v>52</v>
      </c>
      <c r="AO15" s="25" t="s">
        <v>53</v>
      </c>
      <c r="AP15" s="4" t="s">
        <v>49</v>
      </c>
      <c r="AQ15" s="4" t="s">
        <v>50</v>
      </c>
      <c r="AR15" s="4" t="s">
        <v>51</v>
      </c>
      <c r="AS15" s="4" t="s">
        <v>52</v>
      </c>
    </row>
    <row r="16" spans="1:45" s="30" customFormat="1" ht="182.25">
      <c r="A16" s="22">
        <v>4</v>
      </c>
      <c r="B16" s="21" t="s">
        <v>54</v>
      </c>
      <c r="C16" s="21" t="s">
        <v>55</v>
      </c>
      <c r="D16" s="26" t="s">
        <v>56</v>
      </c>
      <c r="E16" s="21" t="s">
        <v>57</v>
      </c>
      <c r="F16" s="21" t="s">
        <v>58</v>
      </c>
      <c r="G16" s="21" t="s">
        <v>59</v>
      </c>
      <c r="H16" s="21" t="s">
        <v>60</v>
      </c>
      <c r="I16" s="31" t="s">
        <v>61</v>
      </c>
      <c r="J16" s="21" t="s">
        <v>62</v>
      </c>
      <c r="K16" s="21" t="s">
        <v>63</v>
      </c>
      <c r="L16" s="32">
        <v>0</v>
      </c>
      <c r="M16" s="32">
        <v>0.1</v>
      </c>
      <c r="N16" s="32">
        <v>0.2</v>
      </c>
      <c r="O16" s="32">
        <v>0.4</v>
      </c>
      <c r="P16" s="32">
        <f t="shared" ref="P16:P22" si="0">O16</f>
        <v>0.4</v>
      </c>
      <c r="Q16" s="21" t="s">
        <v>64</v>
      </c>
      <c r="R16" s="21" t="s">
        <v>65</v>
      </c>
      <c r="S16" s="21" t="s">
        <v>66</v>
      </c>
      <c r="T16" s="21" t="s">
        <v>67</v>
      </c>
      <c r="U16" s="21" t="s">
        <v>68</v>
      </c>
      <c r="V16" s="60">
        <f t="shared" ref="V16:V29" si="1">L16</f>
        <v>0</v>
      </c>
      <c r="W16" s="62">
        <v>0</v>
      </c>
      <c r="X16" s="62">
        <f>IFERROR(IF(W16/V16&gt;100%,100,W16/V16),0)</f>
        <v>0</v>
      </c>
      <c r="Y16" s="21" t="s">
        <v>69</v>
      </c>
      <c r="Z16" s="83" t="s">
        <v>70</v>
      </c>
      <c r="AA16" s="60">
        <f t="shared" ref="AA16:AA29" si="2">M16</f>
        <v>0.1</v>
      </c>
      <c r="AB16" s="62">
        <v>2.8000000000000001E-2</v>
      </c>
      <c r="AC16" s="62">
        <f>IFERROR(IF(AB16/AA16&gt;100%,100%,AB16/AA16),0)</f>
        <v>0.27999999999999997</v>
      </c>
      <c r="AD16" s="21" t="s">
        <v>71</v>
      </c>
      <c r="AE16" s="21" t="s">
        <v>72</v>
      </c>
      <c r="AF16" s="60">
        <f t="shared" ref="AF16:AF29" si="3">N16</f>
        <v>0.2</v>
      </c>
      <c r="AG16" s="62">
        <v>6.5000000000000002E-2</v>
      </c>
      <c r="AH16" s="62">
        <f>IFERROR(IF(AG16/AF16&gt;100%,100%,AG16/AF16),0)</f>
        <v>0.32500000000000001</v>
      </c>
      <c r="AI16" s="21" t="s">
        <v>73</v>
      </c>
      <c r="AJ16" s="21" t="s">
        <v>74</v>
      </c>
      <c r="AK16" s="32">
        <f t="shared" ref="AK16:AK29" si="4">O16</f>
        <v>0.4</v>
      </c>
      <c r="AL16" s="21"/>
      <c r="AM16" s="57">
        <f>IFERROR(IF(AL16/AK16&gt;100%,100%,AL16/AK16),0)</f>
        <v>0</v>
      </c>
      <c r="AN16" s="21"/>
      <c r="AO16" s="21"/>
      <c r="AP16" s="60">
        <f t="shared" ref="AP16:AP29" si="5">P16</f>
        <v>0.4</v>
      </c>
      <c r="AQ16" s="78">
        <f>IFERROR(MAX(W16,AB16,AG16,AL16),0)</f>
        <v>6.5000000000000002E-2</v>
      </c>
      <c r="AR16" s="62">
        <f>IFERROR(IF(AQ16/AP16&gt;100%,100%,AQ16/AP16),0)</f>
        <v>0.16250000000000001</v>
      </c>
      <c r="AS16" s="21" t="s">
        <v>75</v>
      </c>
    </row>
    <row r="17" spans="1:45" s="30" customFormat="1" ht="117">
      <c r="A17" s="22">
        <v>3</v>
      </c>
      <c r="B17" s="21" t="s">
        <v>76</v>
      </c>
      <c r="C17" s="21" t="s">
        <v>77</v>
      </c>
      <c r="D17" s="26" t="s">
        <v>78</v>
      </c>
      <c r="E17" s="21" t="s">
        <v>79</v>
      </c>
      <c r="F17" s="21" t="s">
        <v>58</v>
      </c>
      <c r="G17" s="21" t="s">
        <v>80</v>
      </c>
      <c r="H17" s="21" t="s">
        <v>81</v>
      </c>
      <c r="I17" s="21" t="s">
        <v>82</v>
      </c>
      <c r="J17" s="21" t="s">
        <v>62</v>
      </c>
      <c r="K17" s="21" t="s">
        <v>63</v>
      </c>
      <c r="L17" s="32">
        <v>0.12</v>
      </c>
      <c r="M17" s="32">
        <v>0.25</v>
      </c>
      <c r="N17" s="32">
        <v>0.51</v>
      </c>
      <c r="O17" s="32">
        <v>0.68</v>
      </c>
      <c r="P17" s="32">
        <f t="shared" si="0"/>
        <v>0.68</v>
      </c>
      <c r="Q17" s="21" t="s">
        <v>64</v>
      </c>
      <c r="R17" s="21" t="s">
        <v>83</v>
      </c>
      <c r="S17" s="21" t="s">
        <v>84</v>
      </c>
      <c r="T17" s="21" t="s">
        <v>85</v>
      </c>
      <c r="U17" s="21" t="s">
        <v>68</v>
      </c>
      <c r="V17" s="60">
        <f t="shared" si="1"/>
        <v>0.12</v>
      </c>
      <c r="W17" s="62">
        <v>0.22919999999999999</v>
      </c>
      <c r="X17" s="82">
        <f>IFERROR(IF(W17/V17&gt;100%,100%,W17/V17),0)</f>
        <v>1</v>
      </c>
      <c r="Y17" s="21" t="s">
        <v>86</v>
      </c>
      <c r="Z17" s="21" t="s">
        <v>87</v>
      </c>
      <c r="AA17" s="60">
        <f t="shared" si="2"/>
        <v>0.25</v>
      </c>
      <c r="AB17" s="62">
        <v>0.37509999999999999</v>
      </c>
      <c r="AC17" s="62">
        <f t="shared" ref="AC17:AC28" si="6">IFERROR(IF(AB17/AA17&gt;100%,100%,AB17/AA17),0)</f>
        <v>1</v>
      </c>
      <c r="AD17" s="21" t="s">
        <v>88</v>
      </c>
      <c r="AE17" s="21" t="s">
        <v>72</v>
      </c>
      <c r="AF17" s="60">
        <f t="shared" si="3"/>
        <v>0.51</v>
      </c>
      <c r="AG17" s="62">
        <v>0.63190000000000002</v>
      </c>
      <c r="AH17" s="62">
        <f t="shared" ref="AH17:AH29" si="7">IFERROR(IF(AG17/AF17&gt;100%,100%,AG17/AF17),0)</f>
        <v>1</v>
      </c>
      <c r="AI17" s="21" t="s">
        <v>89</v>
      </c>
      <c r="AJ17" s="21" t="s">
        <v>90</v>
      </c>
      <c r="AK17" s="32">
        <f t="shared" si="4"/>
        <v>0.68</v>
      </c>
      <c r="AL17" s="21"/>
      <c r="AM17" s="57">
        <f t="shared" ref="AM17:AM20" si="8">IFERROR(IF(AL17/AK17&gt;100%,100%,AL17/AK17),0)</f>
        <v>0</v>
      </c>
      <c r="AN17" s="21"/>
      <c r="AO17" s="21"/>
      <c r="AP17" s="60">
        <f>P17</f>
        <v>0.68</v>
      </c>
      <c r="AQ17" s="78">
        <f>IFERROR(MAX(W17,AB17,AG17,AL17),0)</f>
        <v>0.63190000000000002</v>
      </c>
      <c r="AR17" s="62">
        <f t="shared" ref="AR17:AR28" si="9">IFERROR(IF(AQ17/AP17&gt;100%,100%,AQ17/AP17),0)</f>
        <v>0.92926470588235288</v>
      </c>
      <c r="AS17" s="77" t="s">
        <v>91</v>
      </c>
    </row>
    <row r="18" spans="1:45" s="30" customFormat="1" ht="133.5">
      <c r="A18" s="22">
        <v>3</v>
      </c>
      <c r="B18" s="21" t="s">
        <v>76</v>
      </c>
      <c r="C18" s="21" t="s">
        <v>77</v>
      </c>
      <c r="D18" s="26" t="s">
        <v>92</v>
      </c>
      <c r="E18" s="21" t="s">
        <v>93</v>
      </c>
      <c r="F18" s="21" t="s">
        <v>58</v>
      </c>
      <c r="G18" s="21" t="s">
        <v>94</v>
      </c>
      <c r="H18" s="21" t="s">
        <v>95</v>
      </c>
      <c r="I18" s="21" t="s">
        <v>96</v>
      </c>
      <c r="J18" s="21" t="s">
        <v>62</v>
      </c>
      <c r="K18" s="21" t="s">
        <v>63</v>
      </c>
      <c r="L18" s="32">
        <v>0.05</v>
      </c>
      <c r="M18" s="32">
        <v>0.2</v>
      </c>
      <c r="N18" s="32">
        <v>0.48</v>
      </c>
      <c r="O18" s="32">
        <v>0.63</v>
      </c>
      <c r="P18" s="32">
        <f t="shared" si="0"/>
        <v>0.63</v>
      </c>
      <c r="Q18" s="21" t="s">
        <v>64</v>
      </c>
      <c r="R18" s="21" t="s">
        <v>83</v>
      </c>
      <c r="S18" s="21" t="s">
        <v>84</v>
      </c>
      <c r="T18" s="21" t="s">
        <v>85</v>
      </c>
      <c r="U18" s="21" t="s">
        <v>68</v>
      </c>
      <c r="V18" s="60">
        <f t="shared" si="1"/>
        <v>0.05</v>
      </c>
      <c r="W18" s="62">
        <v>0.16919999999999999</v>
      </c>
      <c r="X18" s="82">
        <f t="shared" ref="X18:X19" si="10">IFERROR(IF(W18/V18&gt;100%,100%,W18/V18),0)</f>
        <v>1</v>
      </c>
      <c r="Y18" s="21" t="s">
        <v>97</v>
      </c>
      <c r="Z18" s="21" t="s">
        <v>87</v>
      </c>
      <c r="AA18" s="60">
        <f t="shared" si="2"/>
        <v>0.2</v>
      </c>
      <c r="AB18" s="62">
        <v>0.22989999999999999</v>
      </c>
      <c r="AC18" s="62">
        <f t="shared" si="6"/>
        <v>1</v>
      </c>
      <c r="AD18" s="21" t="s">
        <v>88</v>
      </c>
      <c r="AE18" s="21" t="s">
        <v>72</v>
      </c>
      <c r="AF18" s="60">
        <f t="shared" si="3"/>
        <v>0.48</v>
      </c>
      <c r="AG18" s="62">
        <v>0.33139999999999997</v>
      </c>
      <c r="AH18" s="62">
        <f t="shared" si="7"/>
        <v>0.69041666666666668</v>
      </c>
      <c r="AI18" s="21" t="s">
        <v>98</v>
      </c>
      <c r="AJ18" s="21" t="s">
        <v>90</v>
      </c>
      <c r="AK18" s="32">
        <f t="shared" si="4"/>
        <v>0.63</v>
      </c>
      <c r="AL18" s="21"/>
      <c r="AM18" s="57">
        <f t="shared" si="8"/>
        <v>0</v>
      </c>
      <c r="AN18" s="21"/>
      <c r="AO18" s="21"/>
      <c r="AP18" s="60">
        <f t="shared" si="5"/>
        <v>0.63</v>
      </c>
      <c r="AQ18" s="78">
        <f>IFERROR(MAX(W18,AB18,AG18,AL18),0)</f>
        <v>0.33139999999999997</v>
      </c>
      <c r="AR18" s="62">
        <f t="shared" si="9"/>
        <v>0.52603174603174596</v>
      </c>
      <c r="AS18" s="77" t="s">
        <v>99</v>
      </c>
    </row>
    <row r="19" spans="1:45" s="30" customFormat="1" ht="232.5">
      <c r="A19" s="22">
        <v>3</v>
      </c>
      <c r="B19" s="21" t="s">
        <v>76</v>
      </c>
      <c r="C19" s="21" t="s">
        <v>77</v>
      </c>
      <c r="D19" s="26" t="s">
        <v>100</v>
      </c>
      <c r="E19" s="21" t="s">
        <v>101</v>
      </c>
      <c r="F19" s="21" t="s">
        <v>58</v>
      </c>
      <c r="G19" s="21" t="s">
        <v>102</v>
      </c>
      <c r="H19" s="21" t="s">
        <v>103</v>
      </c>
      <c r="I19" s="31" t="s">
        <v>104</v>
      </c>
      <c r="J19" s="21" t="s">
        <v>62</v>
      </c>
      <c r="K19" s="21" t="s">
        <v>63</v>
      </c>
      <c r="L19" s="32">
        <v>0.1</v>
      </c>
      <c r="M19" s="32">
        <v>0.35</v>
      </c>
      <c r="N19" s="32">
        <v>0.7</v>
      </c>
      <c r="O19" s="32">
        <v>0.97</v>
      </c>
      <c r="P19" s="32">
        <f t="shared" si="0"/>
        <v>0.97</v>
      </c>
      <c r="Q19" s="21" t="s">
        <v>64</v>
      </c>
      <c r="R19" s="21" t="s">
        <v>83</v>
      </c>
      <c r="S19" s="21" t="s">
        <v>84</v>
      </c>
      <c r="T19" s="21" t="s">
        <v>85</v>
      </c>
      <c r="U19" s="21" t="s">
        <v>68</v>
      </c>
      <c r="V19" s="60">
        <f t="shared" si="1"/>
        <v>0.1</v>
      </c>
      <c r="W19" s="62">
        <v>0.11600000000000001</v>
      </c>
      <c r="X19" s="82">
        <f t="shared" si="10"/>
        <v>1</v>
      </c>
      <c r="Y19" s="21" t="s">
        <v>105</v>
      </c>
      <c r="Z19" s="21" t="s">
        <v>87</v>
      </c>
      <c r="AA19" s="60">
        <f t="shared" si="2"/>
        <v>0.35</v>
      </c>
      <c r="AB19" s="62">
        <v>0.25009999999999999</v>
      </c>
      <c r="AC19" s="62">
        <f t="shared" si="6"/>
        <v>0.71457142857142864</v>
      </c>
      <c r="AD19" s="21" t="s">
        <v>106</v>
      </c>
      <c r="AE19" s="21" t="s">
        <v>72</v>
      </c>
      <c r="AF19" s="60">
        <f t="shared" si="3"/>
        <v>0.7</v>
      </c>
      <c r="AG19" s="63">
        <v>0.55000000000000004</v>
      </c>
      <c r="AH19" s="62">
        <f t="shared" si="7"/>
        <v>0.78571428571428581</v>
      </c>
      <c r="AI19" s="21" t="s">
        <v>107</v>
      </c>
      <c r="AJ19" s="21" t="s">
        <v>108</v>
      </c>
      <c r="AK19" s="32">
        <f t="shared" si="4"/>
        <v>0.97</v>
      </c>
      <c r="AL19" s="21"/>
      <c r="AM19" s="57">
        <f>IFERROR(IF(AL19/AK19&gt;100%,100%,AL19/AK19),0)</f>
        <v>0</v>
      </c>
      <c r="AN19" s="21"/>
      <c r="AO19" s="21"/>
      <c r="AP19" s="60">
        <f t="shared" si="5"/>
        <v>0.97</v>
      </c>
      <c r="AQ19" s="78">
        <f>IFERROR(MAX(W19,AB19,AG19,AL19),0)</f>
        <v>0.55000000000000004</v>
      </c>
      <c r="AR19" s="62">
        <f t="shared" si="9"/>
        <v>0.56701030927835061</v>
      </c>
      <c r="AS19" s="77" t="s">
        <v>109</v>
      </c>
    </row>
    <row r="20" spans="1:45" s="30" customFormat="1" ht="265.5">
      <c r="A20" s="22">
        <v>3</v>
      </c>
      <c r="B20" s="21" t="s">
        <v>76</v>
      </c>
      <c r="C20" s="21" t="s">
        <v>77</v>
      </c>
      <c r="D20" s="26" t="s">
        <v>110</v>
      </c>
      <c r="E20" s="21" t="s">
        <v>111</v>
      </c>
      <c r="F20" s="21" t="s">
        <v>58</v>
      </c>
      <c r="G20" s="21" t="s">
        <v>112</v>
      </c>
      <c r="H20" s="21" t="s">
        <v>113</v>
      </c>
      <c r="I20" s="31" t="s">
        <v>114</v>
      </c>
      <c r="J20" s="21" t="s">
        <v>62</v>
      </c>
      <c r="K20" s="21" t="s">
        <v>63</v>
      </c>
      <c r="L20" s="32">
        <v>0.05</v>
      </c>
      <c r="M20" s="32">
        <v>0.15</v>
      </c>
      <c r="N20" s="32">
        <v>0.28000000000000003</v>
      </c>
      <c r="O20" s="32">
        <v>0.51</v>
      </c>
      <c r="P20" s="32">
        <f t="shared" si="0"/>
        <v>0.51</v>
      </c>
      <c r="Q20" s="21" t="s">
        <v>64</v>
      </c>
      <c r="R20" s="21" t="s">
        <v>83</v>
      </c>
      <c r="S20" s="21" t="s">
        <v>84</v>
      </c>
      <c r="T20" s="21" t="s">
        <v>85</v>
      </c>
      <c r="U20" s="21" t="s">
        <v>68</v>
      </c>
      <c r="V20" s="60">
        <f t="shared" si="1"/>
        <v>0.05</v>
      </c>
      <c r="W20" s="62">
        <v>2.18E-2</v>
      </c>
      <c r="X20" s="62">
        <f>IFERROR(IF(W20/V20&gt;100%,100%,W20/V20),0)</f>
        <v>0.436</v>
      </c>
      <c r="Y20" s="21" t="s">
        <v>115</v>
      </c>
      <c r="Z20" s="21" t="s">
        <v>87</v>
      </c>
      <c r="AA20" s="60">
        <f t="shared" si="2"/>
        <v>0.15</v>
      </c>
      <c r="AB20" s="62">
        <v>0.15790000000000001</v>
      </c>
      <c r="AC20" s="62">
        <f t="shared" si="6"/>
        <v>1</v>
      </c>
      <c r="AD20" s="21" t="s">
        <v>116</v>
      </c>
      <c r="AE20" s="21" t="s">
        <v>72</v>
      </c>
      <c r="AF20" s="60">
        <f t="shared" si="3"/>
        <v>0.28000000000000003</v>
      </c>
      <c r="AG20" s="63">
        <v>0.33</v>
      </c>
      <c r="AH20" s="62">
        <f t="shared" si="7"/>
        <v>1</v>
      </c>
      <c r="AI20" s="21" t="s">
        <v>117</v>
      </c>
      <c r="AJ20" s="21" t="s">
        <v>118</v>
      </c>
      <c r="AK20" s="32">
        <f t="shared" si="4"/>
        <v>0.51</v>
      </c>
      <c r="AL20" s="21"/>
      <c r="AM20" s="57">
        <f t="shared" si="8"/>
        <v>0</v>
      </c>
      <c r="AN20" s="21"/>
      <c r="AO20" s="21"/>
      <c r="AP20" s="60">
        <f t="shared" si="5"/>
        <v>0.51</v>
      </c>
      <c r="AQ20" s="78">
        <f>IFERROR(MAX(W20,AB20,AG20,AL20),0)</f>
        <v>0.33</v>
      </c>
      <c r="AR20" s="62">
        <f t="shared" si="9"/>
        <v>0.6470588235294118</v>
      </c>
      <c r="AS20" s="77" t="s">
        <v>119</v>
      </c>
    </row>
    <row r="21" spans="1:45" s="30" customFormat="1" ht="282.75">
      <c r="A21" s="22">
        <v>3</v>
      </c>
      <c r="B21" s="21" t="s">
        <v>76</v>
      </c>
      <c r="C21" s="21" t="s">
        <v>77</v>
      </c>
      <c r="D21" s="26" t="s">
        <v>120</v>
      </c>
      <c r="E21" s="21" t="s">
        <v>121</v>
      </c>
      <c r="F21" s="21" t="s">
        <v>58</v>
      </c>
      <c r="G21" s="21" t="s">
        <v>122</v>
      </c>
      <c r="H21" s="21" t="s">
        <v>123</v>
      </c>
      <c r="I21" s="21" t="s">
        <v>124</v>
      </c>
      <c r="J21" s="21" t="s">
        <v>125</v>
      </c>
      <c r="K21" s="21" t="s">
        <v>63</v>
      </c>
      <c r="L21" s="32">
        <v>0.97</v>
      </c>
      <c r="M21" s="32">
        <v>0.97</v>
      </c>
      <c r="N21" s="32">
        <v>0.97</v>
      </c>
      <c r="O21" s="32">
        <v>0.97</v>
      </c>
      <c r="P21" s="32">
        <f t="shared" si="0"/>
        <v>0.97</v>
      </c>
      <c r="Q21" s="21" t="s">
        <v>64</v>
      </c>
      <c r="R21" s="21" t="s">
        <v>83</v>
      </c>
      <c r="S21" s="21" t="s">
        <v>126</v>
      </c>
      <c r="T21" s="21" t="s">
        <v>85</v>
      </c>
      <c r="U21" s="21" t="s">
        <v>68</v>
      </c>
      <c r="V21" s="60">
        <f t="shared" si="1"/>
        <v>0.97</v>
      </c>
      <c r="W21" s="63">
        <v>0.91</v>
      </c>
      <c r="X21" s="62">
        <f>IFERROR(IF(W21/V21&gt;100%,100%,W21/V21),0)</f>
        <v>0.93814432989690733</v>
      </c>
      <c r="Y21" s="21" t="s">
        <v>115</v>
      </c>
      <c r="Z21" s="21" t="s">
        <v>87</v>
      </c>
      <c r="AA21" s="60">
        <f t="shared" si="2"/>
        <v>0.97</v>
      </c>
      <c r="AB21" s="63">
        <v>1</v>
      </c>
      <c r="AC21" s="62">
        <f t="shared" si="6"/>
        <v>1</v>
      </c>
      <c r="AD21" s="21" t="s">
        <v>127</v>
      </c>
      <c r="AE21" s="21" t="s">
        <v>72</v>
      </c>
      <c r="AF21" s="60">
        <f t="shared" si="3"/>
        <v>0.97</v>
      </c>
      <c r="AG21" s="63">
        <v>1</v>
      </c>
      <c r="AH21" s="62">
        <f t="shared" si="7"/>
        <v>1</v>
      </c>
      <c r="AI21" s="21" t="s">
        <v>128</v>
      </c>
      <c r="AJ21" s="21" t="s">
        <v>129</v>
      </c>
      <c r="AK21" s="32">
        <f t="shared" si="4"/>
        <v>0.97</v>
      </c>
      <c r="AL21" s="21"/>
      <c r="AM21" s="57">
        <f>IFERROR(IF(AL21/AK21&gt;100%,100%,AL21/AK21),0)</f>
        <v>0</v>
      </c>
      <c r="AN21" s="21"/>
      <c r="AO21" s="21"/>
      <c r="AP21" s="60">
        <f t="shared" si="5"/>
        <v>0.97</v>
      </c>
      <c r="AQ21" s="78">
        <f>IFERROR(AVERAGE(W21,AB21,AG21,AL21)*0.75,0)</f>
        <v>0.72750000000000004</v>
      </c>
      <c r="AR21" s="62">
        <f t="shared" si="9"/>
        <v>0.75000000000000011</v>
      </c>
      <c r="AS21" s="77" t="s">
        <v>130</v>
      </c>
    </row>
    <row r="22" spans="1:45" s="30" customFormat="1" ht="277.5" customHeight="1">
      <c r="A22" s="22">
        <v>3</v>
      </c>
      <c r="B22" s="21" t="s">
        <v>76</v>
      </c>
      <c r="C22" s="21" t="s">
        <v>77</v>
      </c>
      <c r="D22" s="26" t="s">
        <v>131</v>
      </c>
      <c r="E22" s="21" t="s">
        <v>132</v>
      </c>
      <c r="F22" s="21" t="s">
        <v>133</v>
      </c>
      <c r="G22" s="21" t="s">
        <v>134</v>
      </c>
      <c r="H22" s="21" t="s">
        <v>135</v>
      </c>
      <c r="I22" s="21" t="s">
        <v>136</v>
      </c>
      <c r="J22" s="21" t="s">
        <v>62</v>
      </c>
      <c r="K22" s="21" t="s">
        <v>63</v>
      </c>
      <c r="L22" s="32">
        <v>0.4</v>
      </c>
      <c r="M22" s="32">
        <v>0.7</v>
      </c>
      <c r="N22" s="32">
        <v>0.9</v>
      </c>
      <c r="O22" s="32">
        <v>1</v>
      </c>
      <c r="P22" s="32">
        <f t="shared" si="0"/>
        <v>1</v>
      </c>
      <c r="Q22" s="21" t="s">
        <v>64</v>
      </c>
      <c r="R22" s="21" t="s">
        <v>83</v>
      </c>
      <c r="S22" s="21" t="s">
        <v>126</v>
      </c>
      <c r="T22" s="21" t="s">
        <v>85</v>
      </c>
      <c r="U22" s="21" t="s">
        <v>68</v>
      </c>
      <c r="V22" s="60">
        <f t="shared" si="1"/>
        <v>0.4</v>
      </c>
      <c r="W22" s="63">
        <v>0.41</v>
      </c>
      <c r="X22" s="62">
        <f>IFERROR(IF(W22/V22&gt;100%,100%,W22/V22),0)</f>
        <v>1</v>
      </c>
      <c r="Y22" s="59" t="s">
        <v>137</v>
      </c>
      <c r="Z22" s="21" t="s">
        <v>87</v>
      </c>
      <c r="AA22" s="60">
        <f t="shared" si="2"/>
        <v>0.7</v>
      </c>
      <c r="AB22" s="78">
        <v>0.87</v>
      </c>
      <c r="AC22" s="62">
        <f t="shared" si="6"/>
        <v>1</v>
      </c>
      <c r="AD22" s="21" t="s">
        <v>138</v>
      </c>
      <c r="AE22" s="21" t="s">
        <v>72</v>
      </c>
      <c r="AF22" s="60">
        <f t="shared" si="3"/>
        <v>0.9</v>
      </c>
      <c r="AG22" s="63">
        <v>0.22</v>
      </c>
      <c r="AH22" s="62">
        <f t="shared" si="7"/>
        <v>0.24444444444444444</v>
      </c>
      <c r="AI22" s="21" t="s">
        <v>139</v>
      </c>
      <c r="AJ22" s="21" t="s">
        <v>140</v>
      </c>
      <c r="AK22" s="32">
        <f t="shared" si="4"/>
        <v>1</v>
      </c>
      <c r="AL22" s="21"/>
      <c r="AM22" s="57">
        <f>IFERROR(IF(AL22/AK22&gt;100%,100%,AL22/AK22),0)</f>
        <v>0</v>
      </c>
      <c r="AN22" s="21"/>
      <c r="AO22" s="21"/>
      <c r="AP22" s="60">
        <f t="shared" si="5"/>
        <v>1</v>
      </c>
      <c r="AQ22" s="78">
        <f>IFERROR(MAX(W22,AB22,AG22,AL22),0)</f>
        <v>0.87</v>
      </c>
      <c r="AR22" s="62">
        <f t="shared" si="9"/>
        <v>0.87</v>
      </c>
      <c r="AS22" s="77" t="s">
        <v>141</v>
      </c>
    </row>
    <row r="23" spans="1:45" s="30" customFormat="1" ht="150">
      <c r="A23" s="22">
        <v>4</v>
      </c>
      <c r="B23" s="21" t="s">
        <v>54</v>
      </c>
      <c r="C23" s="21" t="s">
        <v>142</v>
      </c>
      <c r="D23" s="26" t="s">
        <v>143</v>
      </c>
      <c r="E23" s="21" t="s">
        <v>144</v>
      </c>
      <c r="F23" s="21" t="s">
        <v>58</v>
      </c>
      <c r="G23" s="21" t="s">
        <v>145</v>
      </c>
      <c r="H23" s="21" t="s">
        <v>146</v>
      </c>
      <c r="I23" s="21" t="s">
        <v>147</v>
      </c>
      <c r="J23" s="21" t="s">
        <v>148</v>
      </c>
      <c r="K23" s="21" t="s">
        <v>145</v>
      </c>
      <c r="L23" s="29">
        <v>4000</v>
      </c>
      <c r="M23" s="29">
        <v>5108</v>
      </c>
      <c r="N23" s="29">
        <v>5108</v>
      </c>
      <c r="O23" s="29">
        <v>5108</v>
      </c>
      <c r="P23" s="29">
        <f>SUM(L23:O23)</f>
        <v>19324</v>
      </c>
      <c r="Q23" s="21" t="s">
        <v>64</v>
      </c>
      <c r="R23" s="21" t="s">
        <v>149</v>
      </c>
      <c r="S23" s="21" t="s">
        <v>150</v>
      </c>
      <c r="T23" s="21" t="s">
        <v>151</v>
      </c>
      <c r="U23" s="21" t="s">
        <v>152</v>
      </c>
      <c r="V23" s="64">
        <f t="shared" si="1"/>
        <v>4000</v>
      </c>
      <c r="W23" s="61">
        <v>11274</v>
      </c>
      <c r="X23" s="62">
        <f t="shared" ref="X23:X29" si="11">IFERROR(IF(W23/V23&gt;100%,100%,W23/V23),0)</f>
        <v>1</v>
      </c>
      <c r="Y23" s="21" t="s">
        <v>153</v>
      </c>
      <c r="Z23" s="21" t="s">
        <v>154</v>
      </c>
      <c r="AA23" s="64">
        <f t="shared" si="2"/>
        <v>5108</v>
      </c>
      <c r="AB23" s="61">
        <v>12935</v>
      </c>
      <c r="AC23" s="62">
        <f>IFERROR(IF(AB23/AA23&gt;100%,100%,AB23/AA23),0)</f>
        <v>1</v>
      </c>
      <c r="AD23" s="21" t="s">
        <v>155</v>
      </c>
      <c r="AE23" s="21" t="s">
        <v>156</v>
      </c>
      <c r="AF23" s="64">
        <f t="shared" si="3"/>
        <v>5108</v>
      </c>
      <c r="AG23" s="61">
        <v>10495</v>
      </c>
      <c r="AH23" s="62">
        <f t="shared" si="7"/>
        <v>1</v>
      </c>
      <c r="AI23" s="21" t="s">
        <v>157</v>
      </c>
      <c r="AJ23" s="21" t="s">
        <v>158</v>
      </c>
      <c r="AK23" s="29">
        <f t="shared" si="4"/>
        <v>5108</v>
      </c>
      <c r="AL23" s="21"/>
      <c r="AM23" s="57">
        <f t="shared" ref="AM23" si="12">IFERROR(IF(AL23/AK23&gt;100%,100%,AL23/AK23),0)</f>
        <v>0</v>
      </c>
      <c r="AN23" s="21"/>
      <c r="AO23" s="21"/>
      <c r="AP23" s="61">
        <f t="shared" si="5"/>
        <v>19324</v>
      </c>
      <c r="AQ23" s="64">
        <f>IFERROR(W23+AB23+AG23+AL23,0)</f>
        <v>34704</v>
      </c>
      <c r="AR23" s="62">
        <f t="shared" si="9"/>
        <v>1</v>
      </c>
      <c r="AS23" s="77" t="s">
        <v>159</v>
      </c>
    </row>
    <row r="24" spans="1:45" s="30" customFormat="1" ht="150">
      <c r="A24" s="22">
        <v>4</v>
      </c>
      <c r="B24" s="21" t="s">
        <v>54</v>
      </c>
      <c r="C24" s="21" t="s">
        <v>142</v>
      </c>
      <c r="D24" s="26" t="s">
        <v>160</v>
      </c>
      <c r="E24" s="21" t="s">
        <v>161</v>
      </c>
      <c r="F24" s="21" t="s">
        <v>58</v>
      </c>
      <c r="G24" s="21" t="s">
        <v>162</v>
      </c>
      <c r="H24" s="21" t="s">
        <v>163</v>
      </c>
      <c r="I24" s="21" t="s">
        <v>147</v>
      </c>
      <c r="J24" s="21" t="s">
        <v>148</v>
      </c>
      <c r="K24" s="21" t="s">
        <v>162</v>
      </c>
      <c r="L24" s="29">
        <v>900</v>
      </c>
      <c r="M24" s="29">
        <v>936</v>
      </c>
      <c r="N24" s="29">
        <v>936</v>
      </c>
      <c r="O24" s="29">
        <v>936</v>
      </c>
      <c r="P24" s="29">
        <f t="shared" ref="P24:P29" si="13">SUM(L24:O24)</f>
        <v>3708</v>
      </c>
      <c r="Q24" s="21" t="s">
        <v>64</v>
      </c>
      <c r="R24" s="33" t="s">
        <v>164</v>
      </c>
      <c r="S24" s="33" t="s">
        <v>150</v>
      </c>
      <c r="T24" s="21" t="s">
        <v>151</v>
      </c>
      <c r="U24" s="21" t="s">
        <v>152</v>
      </c>
      <c r="V24" s="64">
        <f t="shared" si="1"/>
        <v>900</v>
      </c>
      <c r="W24" s="61">
        <v>1686</v>
      </c>
      <c r="X24" s="62">
        <f t="shared" si="11"/>
        <v>1</v>
      </c>
      <c r="Y24" s="21" t="s">
        <v>165</v>
      </c>
      <c r="Z24" s="21" t="s">
        <v>154</v>
      </c>
      <c r="AA24" s="64">
        <f t="shared" si="2"/>
        <v>936</v>
      </c>
      <c r="AB24" s="61">
        <v>2184</v>
      </c>
      <c r="AC24" s="62">
        <f t="shared" si="6"/>
        <v>1</v>
      </c>
      <c r="AD24" s="21" t="s">
        <v>166</v>
      </c>
      <c r="AE24" s="21" t="s">
        <v>156</v>
      </c>
      <c r="AF24" s="64">
        <f t="shared" si="3"/>
        <v>936</v>
      </c>
      <c r="AG24" s="61">
        <v>1741</v>
      </c>
      <c r="AH24" s="62">
        <f t="shared" si="7"/>
        <v>1</v>
      </c>
      <c r="AI24" s="21" t="s">
        <v>167</v>
      </c>
      <c r="AJ24" s="21" t="s">
        <v>168</v>
      </c>
      <c r="AK24" s="29">
        <f t="shared" si="4"/>
        <v>936</v>
      </c>
      <c r="AL24" s="21"/>
      <c r="AM24" s="57">
        <f>IFERROR(IF(AL24/AK24&gt;100%,100%,AL24/AK24),0)</f>
        <v>0</v>
      </c>
      <c r="AN24" s="21"/>
      <c r="AO24" s="21"/>
      <c r="AP24" s="61">
        <f t="shared" si="5"/>
        <v>3708</v>
      </c>
      <c r="AQ24" s="64">
        <f t="shared" ref="AQ23:AQ29" si="14">IFERROR(W24+AB24+AG24+AL24,0)</f>
        <v>5611</v>
      </c>
      <c r="AR24" s="62">
        <f t="shared" si="9"/>
        <v>1</v>
      </c>
      <c r="AS24" s="77" t="s">
        <v>159</v>
      </c>
    </row>
    <row r="25" spans="1:45" s="30" customFormat="1" ht="150">
      <c r="A25" s="22">
        <v>4</v>
      </c>
      <c r="B25" s="21" t="s">
        <v>54</v>
      </c>
      <c r="C25" s="21" t="s">
        <v>142</v>
      </c>
      <c r="D25" s="26" t="s">
        <v>169</v>
      </c>
      <c r="E25" s="21" t="s">
        <v>170</v>
      </c>
      <c r="F25" s="21" t="s">
        <v>58</v>
      </c>
      <c r="G25" s="21" t="s">
        <v>171</v>
      </c>
      <c r="H25" s="21" t="s">
        <v>172</v>
      </c>
      <c r="I25" s="21" t="s">
        <v>147</v>
      </c>
      <c r="J25" s="21" t="s">
        <v>148</v>
      </c>
      <c r="K25" s="21" t="s">
        <v>173</v>
      </c>
      <c r="L25" s="29">
        <v>51</v>
      </c>
      <c r="M25" s="80">
        <v>87</v>
      </c>
      <c r="N25" s="80">
        <v>20</v>
      </c>
      <c r="O25" s="80">
        <v>22</v>
      </c>
      <c r="P25" s="80">
        <f t="shared" si="13"/>
        <v>180</v>
      </c>
      <c r="Q25" s="21" t="s">
        <v>64</v>
      </c>
      <c r="R25" s="21" t="s">
        <v>174</v>
      </c>
      <c r="S25" s="21" t="s">
        <v>175</v>
      </c>
      <c r="T25" s="21" t="s">
        <v>151</v>
      </c>
      <c r="U25" s="21" t="s">
        <v>152</v>
      </c>
      <c r="V25" s="64">
        <f t="shared" si="1"/>
        <v>51</v>
      </c>
      <c r="W25" s="61">
        <v>1</v>
      </c>
      <c r="X25" s="62">
        <f t="shared" si="11"/>
        <v>1.9607843137254902E-2</v>
      </c>
      <c r="Y25" s="21" t="s">
        <v>176</v>
      </c>
      <c r="Z25" s="21" t="s">
        <v>154</v>
      </c>
      <c r="AA25" s="64">
        <f t="shared" si="2"/>
        <v>87</v>
      </c>
      <c r="AB25" s="61">
        <v>56</v>
      </c>
      <c r="AC25" s="62">
        <f>IFERROR(IF(AB25/AA25&gt;100%,100%,AB25/AA25),0)</f>
        <v>0.64367816091954022</v>
      </c>
      <c r="AD25" s="21" t="s">
        <v>177</v>
      </c>
      <c r="AE25" s="21" t="s">
        <v>156</v>
      </c>
      <c r="AF25" s="64">
        <f t="shared" si="3"/>
        <v>20</v>
      </c>
      <c r="AG25" s="61">
        <v>44</v>
      </c>
      <c r="AH25" s="62">
        <f t="shared" si="7"/>
        <v>1</v>
      </c>
      <c r="AI25" s="21" t="s">
        <v>178</v>
      </c>
      <c r="AJ25" s="21" t="s">
        <v>179</v>
      </c>
      <c r="AK25" s="29">
        <f t="shared" si="4"/>
        <v>22</v>
      </c>
      <c r="AL25" s="21"/>
      <c r="AM25" s="57">
        <f t="shared" ref="AM25:AM26" si="15">IFERROR(IF(AL25/AK25&gt;100%,100%,AL25/AK25),0)</f>
        <v>0</v>
      </c>
      <c r="AN25" s="21"/>
      <c r="AO25" s="21"/>
      <c r="AP25" s="61">
        <f t="shared" si="5"/>
        <v>180</v>
      </c>
      <c r="AQ25" s="64">
        <f t="shared" si="14"/>
        <v>101</v>
      </c>
      <c r="AR25" s="62">
        <f t="shared" si="9"/>
        <v>0.56111111111111112</v>
      </c>
      <c r="AS25" s="77" t="s">
        <v>180</v>
      </c>
    </row>
    <row r="26" spans="1:45" s="30" customFormat="1" ht="150">
      <c r="A26" s="22">
        <v>4</v>
      </c>
      <c r="B26" s="21" t="s">
        <v>54</v>
      </c>
      <c r="C26" s="21" t="s">
        <v>142</v>
      </c>
      <c r="D26" s="26" t="s">
        <v>181</v>
      </c>
      <c r="E26" s="21" t="s">
        <v>182</v>
      </c>
      <c r="F26" s="21" t="s">
        <v>58</v>
      </c>
      <c r="G26" s="21" t="s">
        <v>183</v>
      </c>
      <c r="H26" s="21" t="s">
        <v>184</v>
      </c>
      <c r="I26" s="21" t="s">
        <v>147</v>
      </c>
      <c r="J26" s="21" t="s">
        <v>148</v>
      </c>
      <c r="K26" s="21" t="s">
        <v>185</v>
      </c>
      <c r="L26" s="39">
        <v>21</v>
      </c>
      <c r="M26" s="81">
        <v>36</v>
      </c>
      <c r="N26" s="81">
        <v>76</v>
      </c>
      <c r="O26" s="81">
        <v>67</v>
      </c>
      <c r="P26" s="80">
        <f t="shared" si="13"/>
        <v>200</v>
      </c>
      <c r="Q26" s="21" t="s">
        <v>64</v>
      </c>
      <c r="R26" s="21" t="s">
        <v>174</v>
      </c>
      <c r="S26" s="21" t="s">
        <v>175</v>
      </c>
      <c r="T26" s="21" t="s">
        <v>151</v>
      </c>
      <c r="U26" s="21" t="s">
        <v>152</v>
      </c>
      <c r="V26" s="64">
        <f t="shared" si="1"/>
        <v>21</v>
      </c>
      <c r="W26" s="61">
        <v>28</v>
      </c>
      <c r="X26" s="62">
        <f t="shared" si="11"/>
        <v>1</v>
      </c>
      <c r="Y26" s="21" t="s">
        <v>186</v>
      </c>
      <c r="Z26" s="21" t="s">
        <v>154</v>
      </c>
      <c r="AA26" s="64">
        <f t="shared" si="2"/>
        <v>36</v>
      </c>
      <c r="AB26" s="61">
        <v>53</v>
      </c>
      <c r="AC26" s="62">
        <f t="shared" si="6"/>
        <v>1</v>
      </c>
      <c r="AD26" s="21" t="s">
        <v>187</v>
      </c>
      <c r="AE26" s="21" t="s">
        <v>156</v>
      </c>
      <c r="AF26" s="64">
        <f t="shared" si="3"/>
        <v>76</v>
      </c>
      <c r="AG26" s="61">
        <v>46</v>
      </c>
      <c r="AH26" s="62">
        <f t="shared" si="7"/>
        <v>0.60526315789473684</v>
      </c>
      <c r="AI26" s="21" t="s">
        <v>188</v>
      </c>
      <c r="AJ26" s="21" t="s">
        <v>189</v>
      </c>
      <c r="AK26" s="29">
        <f t="shared" si="4"/>
        <v>67</v>
      </c>
      <c r="AL26" s="21"/>
      <c r="AM26" s="57">
        <f t="shared" si="15"/>
        <v>0</v>
      </c>
      <c r="AN26" s="21"/>
      <c r="AO26" s="21"/>
      <c r="AP26" s="64">
        <f>P26</f>
        <v>200</v>
      </c>
      <c r="AQ26" s="64">
        <f t="shared" si="14"/>
        <v>127</v>
      </c>
      <c r="AR26" s="62">
        <f t="shared" si="9"/>
        <v>0.63500000000000001</v>
      </c>
      <c r="AS26" s="77" t="s">
        <v>190</v>
      </c>
    </row>
    <row r="27" spans="1:45" s="30" customFormat="1" ht="150">
      <c r="A27" s="22">
        <v>4</v>
      </c>
      <c r="B27" s="21" t="s">
        <v>54</v>
      </c>
      <c r="C27" s="21" t="s">
        <v>142</v>
      </c>
      <c r="D27" s="26" t="s">
        <v>191</v>
      </c>
      <c r="E27" s="21" t="s">
        <v>192</v>
      </c>
      <c r="F27" s="21" t="s">
        <v>58</v>
      </c>
      <c r="G27" s="21" t="s">
        <v>193</v>
      </c>
      <c r="H27" s="21" t="s">
        <v>194</v>
      </c>
      <c r="I27" s="21" t="s">
        <v>147</v>
      </c>
      <c r="J27" s="21" t="s">
        <v>148</v>
      </c>
      <c r="K27" s="21" t="s">
        <v>195</v>
      </c>
      <c r="L27" s="39">
        <v>30</v>
      </c>
      <c r="M27" s="39">
        <v>39</v>
      </c>
      <c r="N27" s="39">
        <v>39</v>
      </c>
      <c r="O27" s="39">
        <v>36</v>
      </c>
      <c r="P27" s="29">
        <f t="shared" si="13"/>
        <v>144</v>
      </c>
      <c r="Q27" s="21" t="s">
        <v>64</v>
      </c>
      <c r="R27" s="21" t="s">
        <v>196</v>
      </c>
      <c r="S27" s="21" t="s">
        <v>197</v>
      </c>
      <c r="T27" s="21" t="s">
        <v>151</v>
      </c>
      <c r="U27" s="21" t="s">
        <v>152</v>
      </c>
      <c r="V27" s="64">
        <f t="shared" si="1"/>
        <v>30</v>
      </c>
      <c r="W27" s="65">
        <v>55</v>
      </c>
      <c r="X27" s="62">
        <f t="shared" si="11"/>
        <v>1</v>
      </c>
      <c r="Y27" s="21" t="s">
        <v>198</v>
      </c>
      <c r="Z27" s="21" t="s">
        <v>199</v>
      </c>
      <c r="AA27" s="64">
        <f t="shared" si="2"/>
        <v>39</v>
      </c>
      <c r="AB27" s="61">
        <v>62</v>
      </c>
      <c r="AC27" s="62">
        <f>IFERROR(IF(AB27/AA27&gt;100%,100%,AB27/AA27),0)</f>
        <v>1</v>
      </c>
      <c r="AD27" s="21" t="s">
        <v>200</v>
      </c>
      <c r="AE27" s="21" t="s">
        <v>201</v>
      </c>
      <c r="AF27" s="64">
        <f t="shared" si="3"/>
        <v>39</v>
      </c>
      <c r="AG27" s="61">
        <v>49</v>
      </c>
      <c r="AH27" s="62">
        <f t="shared" si="7"/>
        <v>1</v>
      </c>
      <c r="AI27" s="21" t="s">
        <v>202</v>
      </c>
      <c r="AJ27" s="21" t="s">
        <v>203</v>
      </c>
      <c r="AK27" s="29">
        <f t="shared" si="4"/>
        <v>36</v>
      </c>
      <c r="AL27" s="21"/>
      <c r="AM27" s="57">
        <f>IFERROR(IF(AL27/AK27&gt;100%,100%,AL27/AK27),0)</f>
        <v>0</v>
      </c>
      <c r="AN27" s="21"/>
      <c r="AO27" s="21"/>
      <c r="AP27" s="64">
        <f>P27</f>
        <v>144</v>
      </c>
      <c r="AQ27" s="64">
        <f t="shared" si="14"/>
        <v>166</v>
      </c>
      <c r="AR27" s="62">
        <f t="shared" si="9"/>
        <v>1</v>
      </c>
      <c r="AS27" s="77" t="s">
        <v>159</v>
      </c>
    </row>
    <row r="28" spans="1:45" s="30" customFormat="1" ht="150">
      <c r="A28" s="22">
        <v>4</v>
      </c>
      <c r="B28" s="21" t="s">
        <v>54</v>
      </c>
      <c r="C28" s="21" t="s">
        <v>142</v>
      </c>
      <c r="D28" s="26" t="s">
        <v>204</v>
      </c>
      <c r="E28" s="21" t="s">
        <v>205</v>
      </c>
      <c r="F28" s="21" t="s">
        <v>58</v>
      </c>
      <c r="G28" s="21" t="s">
        <v>206</v>
      </c>
      <c r="H28" s="21" t="s">
        <v>207</v>
      </c>
      <c r="I28" s="21" t="s">
        <v>147</v>
      </c>
      <c r="J28" s="21" t="s">
        <v>148</v>
      </c>
      <c r="K28" s="21" t="s">
        <v>195</v>
      </c>
      <c r="L28" s="29">
        <v>42</v>
      </c>
      <c r="M28" s="29">
        <v>69</v>
      </c>
      <c r="N28" s="29">
        <v>69</v>
      </c>
      <c r="O28" s="29">
        <v>52</v>
      </c>
      <c r="P28" s="29">
        <f t="shared" si="13"/>
        <v>232</v>
      </c>
      <c r="Q28" s="21" t="s">
        <v>64</v>
      </c>
      <c r="R28" s="21" t="s">
        <v>208</v>
      </c>
      <c r="S28" s="21" t="s">
        <v>197</v>
      </c>
      <c r="T28" s="21" t="s">
        <v>151</v>
      </c>
      <c r="U28" s="21" t="s">
        <v>152</v>
      </c>
      <c r="V28" s="64">
        <f t="shared" si="1"/>
        <v>42</v>
      </c>
      <c r="W28" s="65">
        <v>50</v>
      </c>
      <c r="X28" s="62">
        <f t="shared" si="11"/>
        <v>1</v>
      </c>
      <c r="Y28" s="21" t="s">
        <v>209</v>
      </c>
      <c r="Z28" s="21" t="s">
        <v>199</v>
      </c>
      <c r="AA28" s="64">
        <f t="shared" si="2"/>
        <v>69</v>
      </c>
      <c r="AB28" s="61">
        <v>100</v>
      </c>
      <c r="AC28" s="62">
        <f t="shared" si="6"/>
        <v>1</v>
      </c>
      <c r="AD28" s="21" t="s">
        <v>210</v>
      </c>
      <c r="AE28" s="21" t="s">
        <v>201</v>
      </c>
      <c r="AF28" s="64">
        <f t="shared" si="3"/>
        <v>69</v>
      </c>
      <c r="AG28" s="61">
        <v>80</v>
      </c>
      <c r="AH28" s="62">
        <f t="shared" si="7"/>
        <v>1</v>
      </c>
      <c r="AI28" s="21" t="s">
        <v>211</v>
      </c>
      <c r="AJ28" s="21" t="s">
        <v>212</v>
      </c>
      <c r="AK28" s="29">
        <f t="shared" si="4"/>
        <v>52</v>
      </c>
      <c r="AL28" s="21"/>
      <c r="AM28" s="57">
        <f t="shared" ref="AM28" si="16">IFERROR(IF(AL28/AK28&gt;100%,100%,AL28/AK28),0)</f>
        <v>0</v>
      </c>
      <c r="AN28" s="21"/>
      <c r="AO28" s="21"/>
      <c r="AP28" s="61">
        <f t="shared" si="5"/>
        <v>232</v>
      </c>
      <c r="AQ28" s="64">
        <f t="shared" si="14"/>
        <v>230</v>
      </c>
      <c r="AR28" s="62">
        <f t="shared" si="9"/>
        <v>0.99137931034482762</v>
      </c>
      <c r="AS28" s="77" t="s">
        <v>213</v>
      </c>
    </row>
    <row r="29" spans="1:45" s="30" customFormat="1" ht="133.5">
      <c r="A29" s="22">
        <v>4</v>
      </c>
      <c r="B29" s="21" t="s">
        <v>54</v>
      </c>
      <c r="C29" s="21" t="s">
        <v>142</v>
      </c>
      <c r="D29" s="26" t="s">
        <v>214</v>
      </c>
      <c r="E29" s="21" t="s">
        <v>215</v>
      </c>
      <c r="F29" s="21" t="s">
        <v>58</v>
      </c>
      <c r="G29" s="21" t="s">
        <v>216</v>
      </c>
      <c r="H29" s="21" t="s">
        <v>217</v>
      </c>
      <c r="I29" s="21" t="s">
        <v>147</v>
      </c>
      <c r="J29" s="21" t="s">
        <v>148</v>
      </c>
      <c r="K29" s="21" t="s">
        <v>195</v>
      </c>
      <c r="L29" s="29">
        <v>25</v>
      </c>
      <c r="M29" s="29">
        <v>33</v>
      </c>
      <c r="N29" s="29">
        <v>33</v>
      </c>
      <c r="O29" s="29">
        <v>31</v>
      </c>
      <c r="P29" s="29">
        <f t="shared" si="13"/>
        <v>122</v>
      </c>
      <c r="Q29" s="21" t="s">
        <v>64</v>
      </c>
      <c r="R29" s="21" t="s">
        <v>218</v>
      </c>
      <c r="S29" s="21" t="s">
        <v>197</v>
      </c>
      <c r="T29" s="21" t="s">
        <v>151</v>
      </c>
      <c r="U29" s="21" t="s">
        <v>152</v>
      </c>
      <c r="V29" s="64">
        <f t="shared" si="1"/>
        <v>25</v>
      </c>
      <c r="W29" s="65">
        <v>29</v>
      </c>
      <c r="X29" s="62">
        <f t="shared" si="11"/>
        <v>1</v>
      </c>
      <c r="Y29" s="21" t="s">
        <v>219</v>
      </c>
      <c r="Z29" s="21" t="s">
        <v>199</v>
      </c>
      <c r="AA29" s="64">
        <f t="shared" si="2"/>
        <v>33</v>
      </c>
      <c r="AB29" s="78">
        <v>0.38</v>
      </c>
      <c r="AC29" s="62">
        <f>IFERROR(IF(AB29/AA29&gt;100%,100%,AB29/AA29),0)</f>
        <v>1.1515151515151515E-2</v>
      </c>
      <c r="AD29" s="21" t="s">
        <v>220</v>
      </c>
      <c r="AE29" s="21" t="s">
        <v>201</v>
      </c>
      <c r="AF29" s="64">
        <f t="shared" si="3"/>
        <v>33</v>
      </c>
      <c r="AG29" s="61">
        <v>38</v>
      </c>
      <c r="AH29" s="62">
        <f t="shared" si="7"/>
        <v>1</v>
      </c>
      <c r="AI29" s="85" t="s">
        <v>221</v>
      </c>
      <c r="AJ29" s="21" t="s">
        <v>222</v>
      </c>
      <c r="AK29" s="29">
        <f t="shared" si="4"/>
        <v>31</v>
      </c>
      <c r="AL29" s="21"/>
      <c r="AM29" s="57">
        <f>IFERROR(IF(AL29/AK29&gt;100%,100%,AL29/AK29),0)</f>
        <v>0</v>
      </c>
      <c r="AN29" s="21"/>
      <c r="AO29" s="21"/>
      <c r="AP29" s="61">
        <f t="shared" si="5"/>
        <v>122</v>
      </c>
      <c r="AQ29" s="64">
        <f t="shared" si="14"/>
        <v>67.38</v>
      </c>
      <c r="AR29" s="62">
        <f>IFERROR(IF(AQ29/AP29&gt;100%,100%,AQ29/AP29),0)</f>
        <v>0.55229508196721311</v>
      </c>
      <c r="AS29" s="77" t="s">
        <v>223</v>
      </c>
    </row>
    <row r="30" spans="1:45" s="5" customFormat="1" ht="18.75" customHeight="1">
      <c r="A30" s="10"/>
      <c r="B30" s="10"/>
      <c r="C30" s="10"/>
      <c r="D30" s="10"/>
      <c r="E30" s="13" t="s">
        <v>224</v>
      </c>
      <c r="F30" s="10"/>
      <c r="G30" s="10"/>
      <c r="H30" s="10"/>
      <c r="I30" s="10"/>
      <c r="J30" s="10"/>
      <c r="K30" s="10"/>
      <c r="L30" s="15"/>
      <c r="M30" s="15"/>
      <c r="N30" s="15"/>
      <c r="O30" s="15"/>
      <c r="P30" s="15"/>
      <c r="Q30" s="10"/>
      <c r="R30" s="10"/>
      <c r="S30" s="10"/>
      <c r="T30" s="10" t="s">
        <v>151</v>
      </c>
      <c r="U30" s="10"/>
      <c r="V30" s="16"/>
      <c r="W30" s="16"/>
      <c r="X30" s="66">
        <f>AVERAGE(X17:X29)*80%</f>
        <v>0.70115397987902539</v>
      </c>
      <c r="Y30" s="15"/>
      <c r="Z30" s="15"/>
      <c r="AA30" s="16"/>
      <c r="AB30" s="16"/>
      <c r="AC30" s="66">
        <f>AVERAGE(AC16:AC29)*80%</f>
        <v>0.66570084234320692</v>
      </c>
      <c r="AD30" s="15"/>
      <c r="AE30" s="15"/>
      <c r="AF30" s="16"/>
      <c r="AG30" s="16"/>
      <c r="AH30" s="86">
        <f>AVERAGE(AH16:AH29)*80%</f>
        <v>0.66576220312686474</v>
      </c>
      <c r="AI30" s="15"/>
      <c r="AJ30" s="15"/>
      <c r="AK30" s="15"/>
      <c r="AL30" s="15"/>
      <c r="AM30" s="15">
        <f>AVERAGE(AM16:AM29)*80%</f>
        <v>0</v>
      </c>
      <c r="AN30" s="10"/>
      <c r="AO30" s="10"/>
      <c r="AP30" s="16"/>
      <c r="AQ30" s="16"/>
      <c r="AR30" s="66">
        <f>AVERAGE(AR16:AR29)*80%</f>
        <v>0.58238006217971494</v>
      </c>
      <c r="AS30" s="10"/>
    </row>
    <row r="31" spans="1:45" s="45" customFormat="1" ht="216">
      <c r="A31" s="34">
        <v>3</v>
      </c>
      <c r="B31" s="27" t="s">
        <v>76</v>
      </c>
      <c r="C31" s="27" t="s">
        <v>225</v>
      </c>
      <c r="D31" s="34" t="s">
        <v>226</v>
      </c>
      <c r="E31" s="27" t="s">
        <v>227</v>
      </c>
      <c r="F31" s="27" t="s">
        <v>228</v>
      </c>
      <c r="G31" s="27" t="s">
        <v>229</v>
      </c>
      <c r="H31" s="27" t="s">
        <v>230</v>
      </c>
      <c r="I31" s="27" t="s">
        <v>231</v>
      </c>
      <c r="J31" s="40" t="s">
        <v>125</v>
      </c>
      <c r="K31" s="40" t="s">
        <v>232</v>
      </c>
      <c r="L31" s="41" t="s">
        <v>233</v>
      </c>
      <c r="M31" s="42">
        <v>0.8</v>
      </c>
      <c r="N31" s="41" t="s">
        <v>233</v>
      </c>
      <c r="O31" s="42">
        <v>0.8</v>
      </c>
      <c r="P31" s="42">
        <v>0.8</v>
      </c>
      <c r="Q31" s="27" t="s">
        <v>64</v>
      </c>
      <c r="R31" s="27" t="s">
        <v>234</v>
      </c>
      <c r="S31" s="27" t="s">
        <v>235</v>
      </c>
      <c r="T31" s="27" t="s">
        <v>236</v>
      </c>
      <c r="U31" s="27" t="s">
        <v>237</v>
      </c>
      <c r="V31" s="67">
        <v>0</v>
      </c>
      <c r="W31" s="73">
        <v>0</v>
      </c>
      <c r="X31" s="73">
        <f>IFERROR(IF(W31/V31&gt;100%,100%,W31/V31),0)</f>
        <v>0</v>
      </c>
      <c r="Y31" s="27" t="s">
        <v>69</v>
      </c>
      <c r="Z31" s="27" t="s">
        <v>70</v>
      </c>
      <c r="AA31" s="72">
        <f>M31</f>
        <v>0.8</v>
      </c>
      <c r="AB31" s="69">
        <v>0.6</v>
      </c>
      <c r="AC31" s="73">
        <f>IFERROR(IF(AB31/AA31&gt;100%,100%,AB31/AA31),0)</f>
        <v>0.74999999999999989</v>
      </c>
      <c r="AD31" s="27" t="s">
        <v>238</v>
      </c>
      <c r="AE31" s="27" t="s">
        <v>239</v>
      </c>
      <c r="AF31" s="69">
        <v>0</v>
      </c>
      <c r="AG31" s="71">
        <v>0</v>
      </c>
      <c r="AH31" s="73">
        <f>IFERROR(IF(AG31/AF31&gt;100%,100%,AG31/AF31),0)</f>
        <v>0</v>
      </c>
      <c r="AI31" s="27" t="s">
        <v>240</v>
      </c>
      <c r="AJ31" s="27" t="s">
        <v>240</v>
      </c>
      <c r="AK31" s="44">
        <f>O31</f>
        <v>0.8</v>
      </c>
      <c r="AL31" s="27"/>
      <c r="AM31" s="58">
        <f>IFERROR(IF(AL31/AK31&gt;100%,100%,AL31/AK31),0)</f>
        <v>0</v>
      </c>
      <c r="AN31" s="27"/>
      <c r="AO31" s="27"/>
      <c r="AP31" s="72">
        <f>P31</f>
        <v>0.8</v>
      </c>
      <c r="AQ31" s="71">
        <f>IFERROR(AVERAGE(AB31,AL31)*0.5,0)</f>
        <v>0.3</v>
      </c>
      <c r="AR31" s="76">
        <f>IFERROR(IF(AQ31/AP31&gt;100%,100%,AQ31/AP31),0)</f>
        <v>0.37499999999999994</v>
      </c>
      <c r="AS31" s="27" t="s">
        <v>241</v>
      </c>
    </row>
    <row r="32" spans="1:45" s="45" customFormat="1" ht="182.25">
      <c r="A32" s="34">
        <v>5</v>
      </c>
      <c r="B32" s="27" t="s">
        <v>242</v>
      </c>
      <c r="C32" s="27" t="s">
        <v>243</v>
      </c>
      <c r="D32" s="34" t="s">
        <v>244</v>
      </c>
      <c r="E32" s="46" t="s">
        <v>245</v>
      </c>
      <c r="F32" s="46" t="s">
        <v>228</v>
      </c>
      <c r="G32" s="46" t="s">
        <v>246</v>
      </c>
      <c r="H32" s="46" t="s">
        <v>247</v>
      </c>
      <c r="I32" s="46" t="s">
        <v>248</v>
      </c>
      <c r="J32" s="46" t="s">
        <v>249</v>
      </c>
      <c r="K32" s="46" t="s">
        <v>246</v>
      </c>
      <c r="L32" s="47" t="s">
        <v>240</v>
      </c>
      <c r="M32" s="48">
        <v>1</v>
      </c>
      <c r="N32" s="48">
        <v>1</v>
      </c>
      <c r="O32" s="49">
        <v>1</v>
      </c>
      <c r="P32" s="49">
        <v>1</v>
      </c>
      <c r="Q32" s="46" t="s">
        <v>250</v>
      </c>
      <c r="R32" s="46" t="s">
        <v>251</v>
      </c>
      <c r="S32" s="46" t="s">
        <v>252</v>
      </c>
      <c r="T32" s="50" t="s">
        <v>253</v>
      </c>
      <c r="U32" s="51" t="s">
        <v>254</v>
      </c>
      <c r="V32" s="67">
        <v>0</v>
      </c>
      <c r="W32" s="73">
        <v>0</v>
      </c>
      <c r="X32" s="73">
        <f t="shared" ref="X32:X37" si="17">IFERROR(IF(W32/V32&gt;100%,100%,W32/V32),0)</f>
        <v>0</v>
      </c>
      <c r="Y32" s="27" t="s">
        <v>69</v>
      </c>
      <c r="Z32" s="27" t="s">
        <v>70</v>
      </c>
      <c r="AA32" s="72">
        <f>M32</f>
        <v>1</v>
      </c>
      <c r="AB32" s="73">
        <v>0.95189999999999997</v>
      </c>
      <c r="AC32" s="73">
        <f>IFERROR(IF(AB32/AA32&gt;100%,100%,AB32/AA32),0)</f>
        <v>0.95189999999999997</v>
      </c>
      <c r="AD32" s="27" t="s">
        <v>255</v>
      </c>
      <c r="AE32" s="27" t="s">
        <v>256</v>
      </c>
      <c r="AF32" s="72">
        <f>N32</f>
        <v>1</v>
      </c>
      <c r="AG32" s="73">
        <v>0.95189999999999997</v>
      </c>
      <c r="AH32" s="73">
        <f>IFERROR(IF(AG32/AF32&gt;100%,100%,AG32/AF32),0)</f>
        <v>0.95189999999999997</v>
      </c>
      <c r="AI32" s="27" t="s">
        <v>257</v>
      </c>
      <c r="AJ32" s="27" t="s">
        <v>258</v>
      </c>
      <c r="AK32" s="44">
        <f>O32</f>
        <v>1</v>
      </c>
      <c r="AL32" s="27"/>
      <c r="AM32" s="58">
        <f t="shared" ref="AM32:AM37" si="18">IFERROR(IF(AL32/AK32&gt;100%,100%,AL32/AK32),0)</f>
        <v>0</v>
      </c>
      <c r="AN32" s="27"/>
      <c r="AO32" s="27"/>
      <c r="AP32" s="72">
        <f>P32</f>
        <v>1</v>
      </c>
      <c r="AQ32" s="71">
        <f>IFERROR(AVERAGE(AB32,AG32,AL32)*0.67,0)</f>
        <v>0.63777300000000003</v>
      </c>
      <c r="AR32" s="76">
        <f t="shared" ref="AR32:AR37" si="19">IFERROR(IF(AQ32/AP32&gt;100%,100%,AQ32/AP32),0)</f>
        <v>0.63777300000000003</v>
      </c>
      <c r="AS32" s="27" t="s">
        <v>259</v>
      </c>
    </row>
    <row r="33" spans="1:45" s="45" customFormat="1" ht="117">
      <c r="A33" s="34">
        <v>3</v>
      </c>
      <c r="B33" s="27" t="s">
        <v>76</v>
      </c>
      <c r="C33" s="27" t="s">
        <v>225</v>
      </c>
      <c r="D33" s="34" t="s">
        <v>260</v>
      </c>
      <c r="E33" s="27" t="s">
        <v>261</v>
      </c>
      <c r="F33" s="27" t="s">
        <v>228</v>
      </c>
      <c r="G33" s="27" t="s">
        <v>262</v>
      </c>
      <c r="H33" s="27" t="s">
        <v>263</v>
      </c>
      <c r="I33" s="34" t="s">
        <v>264</v>
      </c>
      <c r="J33" s="28" t="s">
        <v>148</v>
      </c>
      <c r="K33" s="27" t="s">
        <v>262</v>
      </c>
      <c r="L33" s="52">
        <v>0</v>
      </c>
      <c r="M33" s="52">
        <v>1</v>
      </c>
      <c r="N33" s="52">
        <v>0</v>
      </c>
      <c r="O33" s="52">
        <v>1</v>
      </c>
      <c r="P33" s="52">
        <v>2</v>
      </c>
      <c r="Q33" s="27" t="s">
        <v>64</v>
      </c>
      <c r="R33" s="46" t="s">
        <v>265</v>
      </c>
      <c r="S33" s="46" t="s">
        <v>265</v>
      </c>
      <c r="T33" s="46" t="s">
        <v>236</v>
      </c>
      <c r="U33" s="46" t="s">
        <v>236</v>
      </c>
      <c r="V33" s="67">
        <f>L33</f>
        <v>0</v>
      </c>
      <c r="W33" s="73">
        <v>0</v>
      </c>
      <c r="X33" s="73">
        <f t="shared" si="17"/>
        <v>0</v>
      </c>
      <c r="Y33" s="27" t="s">
        <v>69</v>
      </c>
      <c r="Z33" s="27" t="s">
        <v>70</v>
      </c>
      <c r="AA33" s="67">
        <f>M33</f>
        <v>1</v>
      </c>
      <c r="AB33" s="68">
        <v>1</v>
      </c>
      <c r="AC33" s="73">
        <f>IFERROR(IF(AB33/AA33&gt;100%,100%,AB33/AA33),0)</f>
        <v>1</v>
      </c>
      <c r="AD33" s="27" t="s">
        <v>266</v>
      </c>
      <c r="AE33" s="27" t="s">
        <v>267</v>
      </c>
      <c r="AF33" s="67">
        <f>N33</f>
        <v>0</v>
      </c>
      <c r="AG33" s="79">
        <v>0</v>
      </c>
      <c r="AH33" s="73">
        <f>IFERROR(IF(AG33/AF33&gt;100%,100%,AG33/AF33),0)</f>
        <v>0</v>
      </c>
      <c r="AI33" s="27" t="s">
        <v>240</v>
      </c>
      <c r="AJ33" s="27" t="s">
        <v>240</v>
      </c>
      <c r="AK33" s="43">
        <f>O33</f>
        <v>1</v>
      </c>
      <c r="AL33" s="27"/>
      <c r="AM33" s="58">
        <f t="shared" si="18"/>
        <v>0</v>
      </c>
      <c r="AN33" s="27"/>
      <c r="AO33" s="27"/>
      <c r="AP33" s="68">
        <f>P33</f>
        <v>2</v>
      </c>
      <c r="AQ33" s="67">
        <f>IFERROR(AB33+AL33,0)</f>
        <v>1</v>
      </c>
      <c r="AR33" s="76">
        <f t="shared" si="19"/>
        <v>0.5</v>
      </c>
      <c r="AS33" s="27" t="s">
        <v>268</v>
      </c>
    </row>
    <row r="34" spans="1:45" s="45" customFormat="1" ht="232.5">
      <c r="A34" s="34">
        <v>3</v>
      </c>
      <c r="B34" s="27" t="s">
        <v>76</v>
      </c>
      <c r="C34" s="27" t="s">
        <v>269</v>
      </c>
      <c r="D34" s="34" t="s">
        <v>270</v>
      </c>
      <c r="E34" s="46" t="s">
        <v>271</v>
      </c>
      <c r="F34" s="46" t="s">
        <v>228</v>
      </c>
      <c r="G34" s="46" t="s">
        <v>272</v>
      </c>
      <c r="H34" s="46" t="s">
        <v>273</v>
      </c>
      <c r="I34" s="46" t="s">
        <v>274</v>
      </c>
      <c r="J34" s="46" t="s">
        <v>148</v>
      </c>
      <c r="K34" s="46" t="s">
        <v>275</v>
      </c>
      <c r="L34" s="53">
        <v>1</v>
      </c>
      <c r="M34" s="53">
        <v>0</v>
      </c>
      <c r="N34" s="53">
        <v>0</v>
      </c>
      <c r="O34" s="53">
        <v>0</v>
      </c>
      <c r="P34" s="53">
        <v>1</v>
      </c>
      <c r="Q34" s="46" t="s">
        <v>64</v>
      </c>
      <c r="R34" s="46" t="s">
        <v>276</v>
      </c>
      <c r="S34" s="46" t="s">
        <v>277</v>
      </c>
      <c r="T34" s="46" t="s">
        <v>236</v>
      </c>
      <c r="U34" s="46" t="s">
        <v>278</v>
      </c>
      <c r="V34" s="70">
        <v>1</v>
      </c>
      <c r="W34" s="71">
        <f>26/27</f>
        <v>0.96296296296296291</v>
      </c>
      <c r="X34" s="73">
        <f t="shared" si="17"/>
        <v>0.96296296296296291</v>
      </c>
      <c r="Y34" s="27" t="s">
        <v>279</v>
      </c>
      <c r="Z34" s="27" t="s">
        <v>280</v>
      </c>
      <c r="AA34" s="67">
        <v>0</v>
      </c>
      <c r="AB34" s="73">
        <v>0</v>
      </c>
      <c r="AC34" s="73">
        <f>IFERROR(IF(AB34/AA34&gt;100%,100%,AB34/AA34),0)</f>
        <v>0</v>
      </c>
      <c r="AD34" s="27" t="s">
        <v>70</v>
      </c>
      <c r="AE34" s="27" t="s">
        <v>69</v>
      </c>
      <c r="AF34" s="69">
        <v>0</v>
      </c>
      <c r="AG34" s="71">
        <v>0</v>
      </c>
      <c r="AH34" s="73">
        <f>IFERROR(IF(AG34/AF34&gt;100%,100%,AG34/AF34),0)</f>
        <v>0</v>
      </c>
      <c r="AI34" s="27" t="s">
        <v>240</v>
      </c>
      <c r="AJ34" s="27" t="s">
        <v>240</v>
      </c>
      <c r="AK34" s="43" t="s">
        <v>281</v>
      </c>
      <c r="AL34" s="27"/>
      <c r="AM34" s="58">
        <f t="shared" si="18"/>
        <v>0</v>
      </c>
      <c r="AN34" s="27"/>
      <c r="AO34" s="27"/>
      <c r="AP34" s="69">
        <v>1</v>
      </c>
      <c r="AQ34" s="71">
        <f>IFERROR(W34+AB34+AG34+AL34,0)</f>
        <v>0.96296296296296291</v>
      </c>
      <c r="AR34" s="76">
        <f t="shared" si="19"/>
        <v>0.96296296296296291</v>
      </c>
      <c r="AS34" s="27" t="s">
        <v>282</v>
      </c>
    </row>
    <row r="35" spans="1:45" s="45" customFormat="1" ht="232.5">
      <c r="A35" s="34">
        <v>3</v>
      </c>
      <c r="B35" s="27" t="s">
        <v>76</v>
      </c>
      <c r="C35" s="27" t="s">
        <v>269</v>
      </c>
      <c r="D35" s="34" t="s">
        <v>283</v>
      </c>
      <c r="E35" s="46" t="s">
        <v>284</v>
      </c>
      <c r="F35" s="46" t="s">
        <v>228</v>
      </c>
      <c r="G35" s="46" t="s">
        <v>285</v>
      </c>
      <c r="H35" s="46" t="s">
        <v>286</v>
      </c>
      <c r="I35" s="46" t="s">
        <v>136</v>
      </c>
      <c r="J35" s="46" t="s">
        <v>125</v>
      </c>
      <c r="K35" s="46" t="s">
        <v>285</v>
      </c>
      <c r="L35" s="53">
        <v>1</v>
      </c>
      <c r="M35" s="53">
        <v>1</v>
      </c>
      <c r="N35" s="53">
        <v>1</v>
      </c>
      <c r="O35" s="53">
        <v>1</v>
      </c>
      <c r="P35" s="53">
        <v>1</v>
      </c>
      <c r="Q35" s="46" t="s">
        <v>287</v>
      </c>
      <c r="R35" s="46" t="s">
        <v>288</v>
      </c>
      <c r="S35" s="46" t="s">
        <v>289</v>
      </c>
      <c r="T35" s="46" t="s">
        <v>236</v>
      </c>
      <c r="U35" s="46" t="s">
        <v>278</v>
      </c>
      <c r="V35" s="72">
        <f>L35</f>
        <v>1</v>
      </c>
      <c r="W35" s="73">
        <f>27/60</f>
        <v>0.45</v>
      </c>
      <c r="X35" s="73">
        <f t="shared" si="17"/>
        <v>0.45</v>
      </c>
      <c r="Y35" s="27" t="s">
        <v>290</v>
      </c>
      <c r="Z35" s="27" t="s">
        <v>280</v>
      </c>
      <c r="AA35" s="72">
        <f>M35</f>
        <v>1</v>
      </c>
      <c r="AB35" s="71">
        <f>89/121</f>
        <v>0.73553719008264462</v>
      </c>
      <c r="AC35" s="73">
        <f>IFERROR(IF(AB35/AA35&gt;100%,100%,AB35/AA35),0)</f>
        <v>0.73553719008264462</v>
      </c>
      <c r="AD35" s="27" t="s">
        <v>291</v>
      </c>
      <c r="AE35" s="27" t="s">
        <v>292</v>
      </c>
      <c r="AF35" s="72">
        <f>N35</f>
        <v>1</v>
      </c>
      <c r="AG35" s="71">
        <f>102/117</f>
        <v>0.87179487179487181</v>
      </c>
      <c r="AH35" s="73">
        <f>IFERROR(IF(AG35/AF35&gt;100%,100%,AG35/AF35),0)</f>
        <v>0.87179487179487181</v>
      </c>
      <c r="AI35" s="27" t="s">
        <v>293</v>
      </c>
      <c r="AJ35" s="27" t="s">
        <v>294</v>
      </c>
      <c r="AK35" s="44">
        <f>O35</f>
        <v>1</v>
      </c>
      <c r="AL35" s="27"/>
      <c r="AM35" s="58">
        <f t="shared" si="18"/>
        <v>0</v>
      </c>
      <c r="AN35" s="27"/>
      <c r="AO35" s="27"/>
      <c r="AP35" s="72">
        <f>P35</f>
        <v>1</v>
      </c>
      <c r="AQ35" s="71">
        <f>IFERROR(AVERAGE(W35,AB35,AG35,AL35)*0.75,0)</f>
        <v>0.51433301546937904</v>
      </c>
      <c r="AR35" s="76">
        <f t="shared" si="19"/>
        <v>0.51433301546937904</v>
      </c>
      <c r="AS35" s="27" t="s">
        <v>295</v>
      </c>
    </row>
    <row r="36" spans="1:45" s="45" customFormat="1" ht="108.75" customHeight="1">
      <c r="A36" s="34">
        <v>3</v>
      </c>
      <c r="B36" s="27" t="s">
        <v>76</v>
      </c>
      <c r="C36" s="27" t="s">
        <v>296</v>
      </c>
      <c r="D36" s="34" t="s">
        <v>297</v>
      </c>
      <c r="E36" s="27" t="s">
        <v>298</v>
      </c>
      <c r="F36" s="46" t="s">
        <v>228</v>
      </c>
      <c r="G36" s="27" t="s">
        <v>299</v>
      </c>
      <c r="H36" s="27" t="s">
        <v>300</v>
      </c>
      <c r="I36" s="27" t="s">
        <v>301</v>
      </c>
      <c r="J36" s="54" t="s">
        <v>148</v>
      </c>
      <c r="K36" s="27" t="s">
        <v>299</v>
      </c>
      <c r="L36" s="55">
        <v>0</v>
      </c>
      <c r="M36" s="55">
        <v>1</v>
      </c>
      <c r="N36" s="55">
        <v>0</v>
      </c>
      <c r="O36" s="55">
        <v>0</v>
      </c>
      <c r="P36" s="56">
        <v>1</v>
      </c>
      <c r="Q36" s="27" t="s">
        <v>64</v>
      </c>
      <c r="R36" s="27" t="s">
        <v>299</v>
      </c>
      <c r="S36" s="27" t="s">
        <v>302</v>
      </c>
      <c r="T36" s="27" t="s">
        <v>236</v>
      </c>
      <c r="U36" s="27" t="s">
        <v>303</v>
      </c>
      <c r="V36" s="67">
        <f>L36</f>
        <v>0</v>
      </c>
      <c r="W36" s="73">
        <v>0</v>
      </c>
      <c r="X36" s="73">
        <f t="shared" si="17"/>
        <v>0</v>
      </c>
      <c r="Y36" s="27" t="s">
        <v>69</v>
      </c>
      <c r="Z36" s="27" t="s">
        <v>70</v>
      </c>
      <c r="AA36" s="67">
        <f>M36</f>
        <v>1</v>
      </c>
      <c r="AB36" s="88">
        <v>0.7</v>
      </c>
      <c r="AC36" s="73">
        <f>IFERROR(IF(AB36/AA36&gt;100%,100%,AB36/AA36),0)</f>
        <v>0.7</v>
      </c>
      <c r="AD36" s="28" t="s">
        <v>304</v>
      </c>
      <c r="AE36" s="27" t="s">
        <v>305</v>
      </c>
      <c r="AF36" s="67">
        <f>N36</f>
        <v>0</v>
      </c>
      <c r="AG36" s="79">
        <v>0</v>
      </c>
      <c r="AH36" s="73">
        <f>IFERROR(IF(AG36/AF36&gt;100%,100%,AG36/AF36),0)</f>
        <v>0</v>
      </c>
      <c r="AI36" s="27" t="s">
        <v>240</v>
      </c>
      <c r="AJ36" s="27" t="s">
        <v>240</v>
      </c>
      <c r="AK36" s="43">
        <f>O36</f>
        <v>0</v>
      </c>
      <c r="AL36" s="27"/>
      <c r="AM36" s="58">
        <f t="shared" si="18"/>
        <v>0</v>
      </c>
      <c r="AN36" s="27"/>
      <c r="AO36" s="27"/>
      <c r="AP36" s="68">
        <f>P36</f>
        <v>1</v>
      </c>
      <c r="AQ36" s="87">
        <f>IFERROR(W36+AB36+AG36+AL36,0)</f>
        <v>0.7</v>
      </c>
      <c r="AR36" s="84">
        <f t="shared" si="19"/>
        <v>0.7</v>
      </c>
      <c r="AS36" s="27" t="s">
        <v>306</v>
      </c>
    </row>
    <row r="37" spans="1:45" s="45" customFormat="1" ht="112.5" customHeight="1">
      <c r="A37" s="34">
        <v>3</v>
      </c>
      <c r="B37" s="27" t="s">
        <v>76</v>
      </c>
      <c r="C37" s="27" t="s">
        <v>296</v>
      </c>
      <c r="D37" s="34" t="s">
        <v>307</v>
      </c>
      <c r="E37" s="27" t="s">
        <v>308</v>
      </c>
      <c r="F37" s="46" t="s">
        <v>228</v>
      </c>
      <c r="G37" s="27" t="s">
        <v>309</v>
      </c>
      <c r="H37" s="27" t="s">
        <v>310</v>
      </c>
      <c r="I37" s="27" t="s">
        <v>301</v>
      </c>
      <c r="J37" s="54" t="s">
        <v>148</v>
      </c>
      <c r="K37" s="27" t="s">
        <v>309</v>
      </c>
      <c r="L37" s="56">
        <v>0</v>
      </c>
      <c r="M37" s="56">
        <v>0</v>
      </c>
      <c r="N37" s="56">
        <v>0</v>
      </c>
      <c r="O37" s="56">
        <v>1</v>
      </c>
      <c r="P37" s="56">
        <v>1</v>
      </c>
      <c r="Q37" s="27" t="s">
        <v>64</v>
      </c>
      <c r="R37" s="27" t="s">
        <v>311</v>
      </c>
      <c r="S37" s="27" t="s">
        <v>312</v>
      </c>
      <c r="T37" s="27" t="s">
        <v>236</v>
      </c>
      <c r="U37" s="27" t="s">
        <v>303</v>
      </c>
      <c r="V37" s="67">
        <f>L37</f>
        <v>0</v>
      </c>
      <c r="W37" s="73">
        <v>0</v>
      </c>
      <c r="X37" s="73">
        <f t="shared" si="17"/>
        <v>0</v>
      </c>
      <c r="Y37" s="27" t="s">
        <v>69</v>
      </c>
      <c r="Z37" s="27" t="s">
        <v>70</v>
      </c>
      <c r="AA37" s="67">
        <f>M37</f>
        <v>0</v>
      </c>
      <c r="AB37" s="73">
        <v>0</v>
      </c>
      <c r="AC37" s="73">
        <f>IFERROR(IF(AB37/AA37&gt;100%,100%,AB37/AA37),0)</f>
        <v>0</v>
      </c>
      <c r="AD37" s="27" t="s">
        <v>70</v>
      </c>
      <c r="AE37" s="27" t="s">
        <v>69</v>
      </c>
      <c r="AF37" s="67">
        <f>N37</f>
        <v>0</v>
      </c>
      <c r="AG37" s="79">
        <v>0</v>
      </c>
      <c r="AH37" s="73">
        <f>IFERROR(IF(AG37/AF37&gt;100%,100%,AG37/AF37),0)</f>
        <v>0</v>
      </c>
      <c r="AI37" s="27" t="s">
        <v>240</v>
      </c>
      <c r="AJ37" s="27" t="s">
        <v>240</v>
      </c>
      <c r="AK37" s="43">
        <f>O37</f>
        <v>1</v>
      </c>
      <c r="AL37" s="27"/>
      <c r="AM37" s="58">
        <f t="shared" si="18"/>
        <v>0</v>
      </c>
      <c r="AN37" s="27"/>
      <c r="AO37" s="27"/>
      <c r="AP37" s="68">
        <f>P37</f>
        <v>1</v>
      </c>
      <c r="AQ37" s="79">
        <f>IFERROR(W37+AB37+AG37+AL37,0)</f>
        <v>0</v>
      </c>
      <c r="AR37" s="76">
        <f t="shared" si="19"/>
        <v>0</v>
      </c>
      <c r="AS37" s="46" t="s">
        <v>313</v>
      </c>
    </row>
    <row r="38" spans="1:45" s="5" customFormat="1" ht="17.25">
      <c r="A38" s="10"/>
      <c r="B38" s="10"/>
      <c r="C38" s="10"/>
      <c r="D38" s="10"/>
      <c r="E38" s="11" t="s">
        <v>314</v>
      </c>
      <c r="F38" s="11"/>
      <c r="G38" s="11"/>
      <c r="H38" s="11"/>
      <c r="I38" s="11"/>
      <c r="J38" s="11"/>
      <c r="K38" s="11"/>
      <c r="L38" s="12"/>
      <c r="M38" s="12"/>
      <c r="N38" s="12"/>
      <c r="O38" s="12"/>
      <c r="P38" s="12"/>
      <c r="Q38" s="11"/>
      <c r="R38" s="10"/>
      <c r="S38" s="10"/>
      <c r="T38" s="10"/>
      <c r="U38" s="10"/>
      <c r="V38" s="17"/>
      <c r="W38" s="17"/>
      <c r="X38" s="74">
        <f>AVERAGE(X34,X35)*20%</f>
        <v>0.14129629629629631</v>
      </c>
      <c r="Y38" s="10"/>
      <c r="Z38" s="10"/>
      <c r="AA38" s="17"/>
      <c r="AB38" s="17"/>
      <c r="AC38" s="74">
        <f>AVERAGE(AC31,AC32,AC33,AC35,AC36)*20%</f>
        <v>0.16549748760330577</v>
      </c>
      <c r="AD38" s="10"/>
      <c r="AE38" s="10"/>
      <c r="AF38" s="17"/>
      <c r="AG38" s="17"/>
      <c r="AH38" s="74">
        <f>AVERAGE(AH32,AH35)*20%</f>
        <v>0.1823694871794872</v>
      </c>
      <c r="AI38" s="10"/>
      <c r="AJ38" s="10"/>
      <c r="AK38" s="12"/>
      <c r="AL38" s="12"/>
      <c r="AM38" s="14">
        <f>AVERAGE(AM31:AM37)*20%</f>
        <v>0</v>
      </c>
      <c r="AN38" s="10"/>
      <c r="AO38" s="10"/>
      <c r="AP38" s="17"/>
      <c r="AQ38" s="17"/>
      <c r="AR38" s="74">
        <f>AVERAGE(AR31,AR32,AR33,AR34,AR35,AR36)*20%</f>
        <v>0.12300229928107809</v>
      </c>
      <c r="AS38" s="10"/>
    </row>
    <row r="39" spans="1:45" s="9" customFormat="1" ht="20.25">
      <c r="A39" s="6"/>
      <c r="B39" s="6"/>
      <c r="C39" s="6"/>
      <c r="D39" s="6"/>
      <c r="E39" s="7" t="s">
        <v>315</v>
      </c>
      <c r="F39" s="6"/>
      <c r="G39" s="6"/>
      <c r="H39" s="6"/>
      <c r="I39" s="6"/>
      <c r="J39" s="6"/>
      <c r="K39" s="6"/>
      <c r="L39" s="8"/>
      <c r="M39" s="8"/>
      <c r="N39" s="8"/>
      <c r="O39" s="8"/>
      <c r="P39" s="8"/>
      <c r="Q39" s="6"/>
      <c r="R39" s="6"/>
      <c r="S39" s="6"/>
      <c r="T39" s="6"/>
      <c r="U39" s="6"/>
      <c r="V39" s="18"/>
      <c r="W39" s="18"/>
      <c r="X39" s="75">
        <f>X30+X38</f>
        <v>0.84245027617532164</v>
      </c>
      <c r="Y39" s="6"/>
      <c r="Z39" s="6"/>
      <c r="AA39" s="18"/>
      <c r="AB39" s="18"/>
      <c r="AC39" s="75">
        <f>AC30+AC38</f>
        <v>0.83119832994651266</v>
      </c>
      <c r="AD39" s="6"/>
      <c r="AE39" s="6"/>
      <c r="AF39" s="18"/>
      <c r="AG39" s="18"/>
      <c r="AH39" s="75">
        <f>AH30+AH38</f>
        <v>0.84813169030635194</v>
      </c>
      <c r="AI39" s="6"/>
      <c r="AJ39" s="6"/>
      <c r="AK39" s="8"/>
      <c r="AL39" s="8"/>
      <c r="AM39" s="19">
        <f>AM30+AM38</f>
        <v>0</v>
      </c>
      <c r="AN39" s="6"/>
      <c r="AO39" s="6"/>
      <c r="AP39" s="18"/>
      <c r="AQ39" s="18"/>
      <c r="AR39" s="75">
        <f>AR30+AR38</f>
        <v>0.70538236146079303</v>
      </c>
      <c r="AS39"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10:K10"/>
    <mergeCell ref="H11:K11"/>
    <mergeCell ref="R13:U14"/>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F38:F1048576 F16:F30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133</v>
      </c>
    </row>
    <row r="4" spans="1:1">
      <c r="A4" t="s">
        <v>228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C6CAB926-F9E8-4898-AD22-F6FE40327182}"/>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