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mc:AlternateContent xmlns:mc="http://schemas.openxmlformats.org/markup-compatibility/2006">
    <mc:Choice Requires="x15">
      <x15ac:absPath xmlns:x15ac="http://schemas.microsoft.com/office/spreadsheetml/2010/11/ac" url="C:\Users\delcy\Downloads\"/>
    </mc:Choice>
  </mc:AlternateContent>
  <xr:revisionPtr revIDLastSave="0" documentId="8_{0CB9D129-75AC-4CA3-993D-1806F1AA34E3}" xr6:coauthVersionLast="47" xr6:coauthVersionMax="47" xr10:uidLastSave="{00000000-0000-0000-0000-000000000000}"/>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0" i="1" l="1"/>
  <c r="AR38" i="1"/>
  <c r="AQ35" i="1"/>
  <c r="AQ32" i="1"/>
  <c r="AH38" i="1"/>
  <c r="AG35" i="1"/>
  <c r="AH36" i="1"/>
  <c r="AH37" i="1"/>
  <c r="AH34" i="1"/>
  <c r="AH35" i="1"/>
  <c r="AH32" i="1"/>
  <c r="AH33" i="1"/>
  <c r="AH31" i="1"/>
  <c r="AH29" i="1"/>
  <c r="AH27" i="1"/>
  <c r="AH28" i="1"/>
  <c r="AH25" i="1"/>
  <c r="AH26" i="1"/>
  <c r="AH23" i="1"/>
  <c r="AH24" i="1"/>
  <c r="AH21" i="1"/>
  <c r="AH22" i="1"/>
  <c r="AH20" i="1"/>
  <c r="AH18" i="1"/>
  <c r="AH19" i="1"/>
  <c r="AH16" i="1"/>
  <c r="AH17" i="1"/>
  <c r="AH15" i="1"/>
  <c r="AQ31" i="1"/>
  <c r="AQ33" i="1"/>
  <c r="AQ25" i="1"/>
  <c r="AA34" i="1"/>
  <c r="AC34" i="1" s="1"/>
  <c r="V37" i="1"/>
  <c r="V36" i="1"/>
  <c r="X37" i="1"/>
  <c r="X36" i="1"/>
  <c r="X33" i="1"/>
  <c r="X32" i="1"/>
  <c r="X31" i="1"/>
  <c r="V15" i="1"/>
  <c r="X15" i="1" s="1"/>
  <c r="W35" i="1"/>
  <c r="W34" i="1"/>
  <c r="X34" i="1" s="1"/>
  <c r="AQ37" i="1"/>
  <c r="AP37" i="1"/>
  <c r="AQ36" i="1"/>
  <c r="AP36" i="1"/>
  <c r="AP35" i="1"/>
  <c r="AQ34" i="1"/>
  <c r="AR34" i="1" s="1"/>
  <c r="AP33" i="1"/>
  <c r="AR33" i="1" s="1"/>
  <c r="AP32" i="1"/>
  <c r="AR32" i="1" s="1"/>
  <c r="AP31" i="1"/>
  <c r="AR31" i="1" s="1"/>
  <c r="AQ29" i="1"/>
  <c r="AQ28" i="1"/>
  <c r="AQ27" i="1"/>
  <c r="AQ26" i="1"/>
  <c r="AQ24" i="1"/>
  <c r="AQ23" i="1"/>
  <c r="AQ22" i="1"/>
  <c r="AQ21" i="1"/>
  <c r="AQ19" i="1"/>
  <c r="AQ18" i="1"/>
  <c r="AQ17" i="1"/>
  <c r="AQ16" i="1"/>
  <c r="AQ15" i="1"/>
  <c r="V35" i="1"/>
  <c r="V29" i="1"/>
  <c r="X29" i="1" s="1"/>
  <c r="V28" i="1"/>
  <c r="X28" i="1" s="1"/>
  <c r="V27" i="1"/>
  <c r="X27" i="1" s="1"/>
  <c r="V26" i="1"/>
  <c r="X26" i="1" s="1"/>
  <c r="V25" i="1"/>
  <c r="X25" i="1" s="1"/>
  <c r="V24" i="1"/>
  <c r="X24" i="1" s="1"/>
  <c r="V23" i="1"/>
  <c r="X23" i="1" s="1"/>
  <c r="V22" i="1"/>
  <c r="X22" i="1" s="1"/>
  <c r="V21" i="1"/>
  <c r="X21" i="1" s="1"/>
  <c r="V20" i="1"/>
  <c r="X20" i="1" s="1"/>
  <c r="V19" i="1"/>
  <c r="X19" i="1" s="1"/>
  <c r="V18" i="1"/>
  <c r="X18" i="1" s="1"/>
  <c r="V17" i="1"/>
  <c r="X17" i="1" s="1"/>
  <c r="V16" i="1"/>
  <c r="X16" i="1" s="1"/>
  <c r="AK37" i="1"/>
  <c r="AM37" i="1" s="1"/>
  <c r="AF37" i="1"/>
  <c r="AA37" i="1"/>
  <c r="AC37" i="1" s="1"/>
  <c r="AK36" i="1"/>
  <c r="AM36" i="1" s="1"/>
  <c r="AF36" i="1"/>
  <c r="AA36" i="1"/>
  <c r="AC36" i="1" s="1"/>
  <c r="AK35" i="1"/>
  <c r="AM35" i="1" s="1"/>
  <c r="AF35" i="1"/>
  <c r="AA35" i="1"/>
  <c r="AC35" i="1" s="1"/>
  <c r="AK33" i="1"/>
  <c r="AF33" i="1"/>
  <c r="AA33" i="1"/>
  <c r="AC33" i="1" s="1"/>
  <c r="AK32" i="1"/>
  <c r="AM32" i="1" s="1"/>
  <c r="AF32" i="1"/>
  <c r="AA32" i="1"/>
  <c r="AC32" i="1" s="1"/>
  <c r="AK31" i="1"/>
  <c r="AM31" i="1" s="1"/>
  <c r="AA31" i="1"/>
  <c r="AC31" i="1" s="1"/>
  <c r="AC38" i="1" s="1"/>
  <c r="P23" i="1"/>
  <c r="AP23" i="1" s="1"/>
  <c r="P24" i="1"/>
  <c r="AP24" i="1" s="1"/>
  <c r="P25" i="1"/>
  <c r="AP25" i="1" s="1"/>
  <c r="AR25" i="1" s="1"/>
  <c r="P26" i="1"/>
  <c r="AP26" i="1" s="1"/>
  <c r="P27" i="1"/>
  <c r="AP27" i="1" s="1"/>
  <c r="P28" i="1"/>
  <c r="AP28" i="1" s="1"/>
  <c r="P29" i="1"/>
  <c r="AP29" i="1" s="1"/>
  <c r="P22" i="1"/>
  <c r="AP22" i="1" s="1"/>
  <c r="P21" i="1"/>
  <c r="AP21" i="1" s="1"/>
  <c r="P20" i="1"/>
  <c r="AP20" i="1" s="1"/>
  <c r="AR20" i="1" s="1"/>
  <c r="AR21" i="1" l="1"/>
  <c r="AR22" i="1"/>
  <c r="AR23" i="1"/>
  <c r="AR24" i="1"/>
  <c r="AR26" i="1"/>
  <c r="AR27" i="1"/>
  <c r="AR28" i="1"/>
  <c r="AR29" i="1"/>
  <c r="AR36" i="1"/>
  <c r="AR37" i="1"/>
  <c r="AR35" i="1"/>
  <c r="X35" i="1"/>
  <c r="X30" i="1"/>
  <c r="X38" i="1"/>
  <c r="X39" i="1" s="1"/>
  <c r="P19" i="1"/>
  <c r="AP19" i="1" s="1"/>
  <c r="AR19" i="1" s="1"/>
  <c r="P18" i="1"/>
  <c r="AP18" i="1" s="1"/>
  <c r="AR18" i="1" s="1"/>
  <c r="P17" i="1"/>
  <c r="AP17" i="1" s="1"/>
  <c r="AR17" i="1" s="1"/>
  <c r="P16" i="1"/>
  <c r="AP16" i="1" s="1"/>
  <c r="AR16" i="1" s="1"/>
  <c r="P15" i="1"/>
  <c r="AP15" i="1" s="1"/>
  <c r="AR15" i="1" s="1"/>
  <c r="AR30" i="1" s="1"/>
  <c r="AR39" i="1" l="1"/>
  <c r="AK15" i="1"/>
  <c r="AM15" i="1" s="1"/>
  <c r="AM38" i="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F29" i="1"/>
  <c r="AF28" i="1"/>
  <c r="AF27" i="1"/>
  <c r="AF26" i="1"/>
  <c r="AF25" i="1"/>
  <c r="AF24" i="1"/>
  <c r="AF23" i="1"/>
  <c r="AF22" i="1"/>
  <c r="AF21" i="1"/>
  <c r="AF20" i="1"/>
  <c r="AF19" i="1"/>
  <c r="AF18" i="1"/>
  <c r="AF17" i="1"/>
  <c r="AF16" i="1"/>
  <c r="AF15" i="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C30" i="1" s="1"/>
  <c r="AC39" i="1" l="1"/>
  <c r="AM30" i="1"/>
  <c r="AM39" i="1" s="1"/>
  <c r="AH30" i="1"/>
  <c r="AH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indexed="81"/>
            <rFont val="Tahoma"/>
            <family val="2"/>
          </rPr>
          <t>Indique el nombre del proceso al cual está asociada la meta</t>
        </r>
      </text>
    </comment>
    <comment ref="A14" authorId="0" shapeId="0" xr:uid="{00000000-0006-0000-0000-000006000000}">
      <text>
        <r>
          <rPr>
            <b/>
            <sz val="9"/>
            <color indexed="81"/>
            <rFont val="Tahoma"/>
            <family val="2"/>
          </rPr>
          <t>Incluya el número del objetivo estratégico, de acuerdo con lo adoptado en el Plan Estratégico Institucional</t>
        </r>
      </text>
    </comment>
    <comment ref="B14"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4" authorId="0" shapeId="0" xr:uid="{00000000-0006-0000-0000-000008000000}">
      <text>
        <r>
          <rPr>
            <b/>
            <sz val="9"/>
            <color indexed="81"/>
            <rFont val="Tahoma"/>
            <family val="2"/>
          </rPr>
          <t>Escriba el número de la meta, en orden consecutivo</t>
        </r>
      </text>
    </comment>
    <comment ref="E14"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00000000-0006-0000-0000-00000A000000}">
      <text>
        <r>
          <rPr>
            <b/>
            <sz val="9"/>
            <color indexed="81"/>
            <rFont val="Tahoma"/>
            <family val="2"/>
          </rPr>
          <t xml:space="preserve">Seleccione la opción que corresponda
</t>
        </r>
      </text>
    </comment>
    <comment ref="G14" authorId="0" shapeId="0" xr:uid="{00000000-0006-0000-0000-00000B000000}">
      <text>
        <r>
          <rPr>
            <b/>
            <sz val="9"/>
            <color indexed="81"/>
            <rFont val="Tahoma"/>
            <family val="2"/>
          </rPr>
          <t>Indique un nombre corto que refleje lo que pretende medir. 
Ej. Porcentaje de giros acumulados</t>
        </r>
      </text>
    </comment>
    <comment ref="H14"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 xml:space="preserve">Indique la magnitud programada para el trimestre. </t>
        </r>
      </text>
    </comment>
    <comment ref="P14" authorId="0" shapeId="0" xr:uid="{00000000-0006-0000-0000-000014000000}">
      <text>
        <r>
          <rPr>
            <b/>
            <sz val="9"/>
            <color indexed="81"/>
            <rFont val="Tahoma"/>
            <family val="2"/>
          </rPr>
          <t>Indique la programación total de la vigencia. 
Debe ser coherente con la meta.</t>
        </r>
      </text>
    </comment>
    <comment ref="Q14" authorId="0" shapeId="0" xr:uid="{00000000-0006-0000-0000-000015000000}">
      <text>
        <r>
          <rPr>
            <b/>
            <sz val="9"/>
            <color indexed="81"/>
            <rFont val="Tahoma"/>
            <family val="2"/>
          </rPr>
          <t xml:space="preserve">Indique el tipo de indicador: 
- Eficancia 
- Eficiencia 
- Efectividad </t>
        </r>
      </text>
    </comment>
    <comment ref="R14" authorId="0" shapeId="0" xr:uid="{00000000-0006-0000-0000-000016000000}">
      <text>
        <r>
          <rPr>
            <b/>
            <sz val="9"/>
            <color indexed="81"/>
            <rFont val="Tahoma"/>
            <family val="2"/>
          </rPr>
          <t>Indique la evidencia a presentar del cumplimiento de la meta. Se debe redactar de forma concreta y coherente con la meta</t>
        </r>
      </text>
    </comment>
    <comment ref="S14"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00000000-0006-0000-0000-000018000000}">
      <text>
        <r>
          <rPr>
            <b/>
            <sz val="9"/>
            <color indexed="81"/>
            <rFont val="Tahoma"/>
            <family val="2"/>
          </rPr>
          <t>Indique el área y grupo de trabajo (si se tiene), responsable de cumplir o ejecutar la meta</t>
        </r>
      </text>
    </comment>
    <comment ref="U14" authorId="0" shapeId="0" xr:uid="{00000000-0006-0000-0000-000019000000}">
      <text>
        <r>
          <rPr>
            <b/>
            <sz val="9"/>
            <color indexed="81"/>
            <rFont val="Tahoma"/>
            <family val="2"/>
          </rPr>
          <t>Indique el nombre de la dependencia responsable de reportar trimestralmente la meta a la OAP</t>
        </r>
      </text>
    </comment>
    <comment ref="V14" authorId="0" shapeId="0" xr:uid="{00000000-0006-0000-0000-00001A000000}">
      <text>
        <r>
          <rPr>
            <b/>
            <sz val="9"/>
            <color indexed="81"/>
            <rFont val="Tahoma"/>
            <family val="2"/>
          </rPr>
          <t>Indique la magnitud programada</t>
        </r>
      </text>
    </comment>
    <comment ref="W14" authorId="0" shapeId="0" xr:uid="{00000000-0006-0000-0000-00001B000000}">
      <text>
        <r>
          <rPr>
            <b/>
            <sz val="9"/>
            <color indexed="81"/>
            <rFont val="Tahoma"/>
            <family val="2"/>
          </rPr>
          <t>Indique la magnitud ejecutada. Corresponde al resultado de medir el indicador de la meta</t>
        </r>
      </text>
    </comment>
    <comment ref="X14"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000-00001E000000}">
      <text>
        <r>
          <rPr>
            <b/>
            <sz val="9"/>
            <color indexed="81"/>
            <rFont val="Tahoma"/>
            <family val="2"/>
          </rPr>
          <t xml:space="preserve">Indicar el nombre concreto de la evidencia aportada. </t>
        </r>
      </text>
    </comment>
    <comment ref="AA14" authorId="0" shapeId="0" xr:uid="{00000000-0006-0000-0000-00001F000000}">
      <text>
        <r>
          <rPr>
            <b/>
            <sz val="9"/>
            <color indexed="81"/>
            <rFont val="Tahoma"/>
            <family val="2"/>
          </rPr>
          <t>Indique la magnitud programada</t>
        </r>
      </text>
    </comment>
    <comment ref="AB14" authorId="0" shapeId="0" xr:uid="{00000000-0006-0000-0000-000020000000}">
      <text>
        <r>
          <rPr>
            <b/>
            <sz val="9"/>
            <color indexed="81"/>
            <rFont val="Tahoma"/>
            <family val="2"/>
          </rPr>
          <t>Indique la magnitud ejecutada. Corresponde al resultado de medir el indicador de la meta</t>
        </r>
      </text>
    </comment>
    <comment ref="AC14"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000-000023000000}">
      <text>
        <r>
          <rPr>
            <b/>
            <sz val="9"/>
            <color indexed="81"/>
            <rFont val="Tahoma"/>
            <family val="2"/>
          </rPr>
          <t xml:space="preserve">Indicar el nombre concreto de la evidencia aportada. </t>
        </r>
      </text>
    </comment>
    <comment ref="AF14" authorId="0" shapeId="0" xr:uid="{00000000-0006-0000-0000-000024000000}">
      <text>
        <r>
          <rPr>
            <b/>
            <sz val="9"/>
            <color indexed="81"/>
            <rFont val="Tahoma"/>
            <family val="2"/>
          </rPr>
          <t>Indique la magnitud programada</t>
        </r>
      </text>
    </comment>
    <comment ref="AG14" authorId="0" shapeId="0" xr:uid="{00000000-0006-0000-0000-000025000000}">
      <text>
        <r>
          <rPr>
            <b/>
            <sz val="9"/>
            <color indexed="81"/>
            <rFont val="Tahoma"/>
            <family val="2"/>
          </rPr>
          <t>Indique la magnitud ejecutada. Corresponde al resultado de medir el indicador de la meta</t>
        </r>
      </text>
    </comment>
    <comment ref="AH14"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000-000028000000}">
      <text>
        <r>
          <rPr>
            <b/>
            <sz val="9"/>
            <color indexed="81"/>
            <rFont val="Tahoma"/>
            <family val="2"/>
          </rPr>
          <t xml:space="preserve">Indicar el nombre concreto de la evidencia aportada. </t>
        </r>
      </text>
    </comment>
    <comment ref="AK14" authorId="0" shapeId="0" xr:uid="{00000000-0006-0000-0000-000029000000}">
      <text>
        <r>
          <rPr>
            <b/>
            <sz val="9"/>
            <color indexed="81"/>
            <rFont val="Tahoma"/>
            <family val="2"/>
          </rPr>
          <t>Indique la magnitud programada</t>
        </r>
      </text>
    </comment>
    <comment ref="AL14" authorId="0" shapeId="0" xr:uid="{00000000-0006-0000-0000-00002A000000}">
      <text>
        <r>
          <rPr>
            <b/>
            <sz val="9"/>
            <color indexed="81"/>
            <rFont val="Tahoma"/>
            <family val="2"/>
          </rPr>
          <t>Indique la magnitud ejecutada. Corresponde al resultado de medir el indicador de la meta</t>
        </r>
      </text>
    </comment>
    <comment ref="AM14"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000-00002D000000}">
      <text>
        <r>
          <rPr>
            <b/>
            <sz val="9"/>
            <color indexed="81"/>
            <rFont val="Tahoma"/>
            <family val="2"/>
          </rPr>
          <t xml:space="preserve">Indicar el nombre concreto de la evidencia aportada. </t>
        </r>
      </text>
    </comment>
    <comment ref="AP14" authorId="0" shapeId="0" xr:uid="{00000000-0006-0000-0000-00002E000000}">
      <text>
        <r>
          <rPr>
            <b/>
            <sz val="9"/>
            <color indexed="81"/>
            <rFont val="Tahoma"/>
            <family val="2"/>
          </rPr>
          <t>Indique la magnitud total programada para la vigencia</t>
        </r>
      </text>
    </comment>
    <comment ref="AQ14" authorId="0" shapeId="0" xr:uid="{00000000-0006-0000-0000-00002F000000}">
      <text>
        <r>
          <rPr>
            <b/>
            <sz val="9"/>
            <color indexed="81"/>
            <rFont val="Tahoma"/>
            <family val="2"/>
          </rPr>
          <t xml:space="preserve">Indique la magnitud ejecutada acumulada para la vigencia </t>
        </r>
      </text>
    </comment>
    <comment ref="AR14"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<sst xmlns="http://schemas.openxmlformats.org/spreadsheetml/2006/main" count="565" uniqueCount="321">
  <si>
    <r>
      <rPr>
        <b/>
        <sz val="14"/>
        <rFont val="Calibri Light"/>
        <family val="2"/>
        <scheme val="major"/>
      </rPr>
      <t>FORMULACIÓN Y SEGUIMIENTO PLANES DE GESTIÓN NIVEL LOCAL</t>
    </r>
    <r>
      <rPr>
        <b/>
        <sz val="11"/>
        <color theme="1"/>
        <rFont val="Calibri Light"/>
        <family val="2"/>
        <scheme val="major"/>
      </rPr>
      <t xml:space="preserve">
ALCALDÍA LOCAL DE ENGATIVÁ</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</si>
  <si>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</si>
  <si>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</si>
  <si>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</si>
  <si>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</si>
  <si>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</si>
  <si>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</si>
  <si>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</si>
  <si>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116027</t>
  </si>
  <si>
    <t>16 de abril de 2025</t>
  </si>
  <si>
    <t>Para el primer trimestre de la vigencia 2025, el Plan de Gestión de la alcaldia local  de Engativa alcanzó un nivel de desempeño del 72,58% y del 28,17%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</si>
  <si>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</si>
  <si>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</si>
  <si>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28 de julio de 2025</t>
  </si>
  <si>
    <t>Para el II trimestre de la vigencia 2025, el Plan de Gestión de la alcaldia local  de Engativa alcanzó un nivel de desempeño del 80,45% y del 51,54% acumulado para la vigencia.</t>
  </si>
  <si>
    <t>15 de octubre de 2025</t>
  </si>
  <si>
    <t>Para el III trimestre de la vigencia 2025, el Plan de Gestión de la alcaldia local  de Engativa alcanzó un nivel de desempeño del 77,31% y del 64,27%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</si>
  <si>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</si>
  <si>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</si>
  <si>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</si>
  <si>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</si>
  <si>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</si>
  <si>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</si>
  <si>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</si>
  <si>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</si>
  <si>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</si>
  <si>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</si>
  <si>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</si>
  <si>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</si>
  <si>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</si>
  <si>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</si>
  <si>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</si>
  <si>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</si>
  <si>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</si>
  <si>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</si>
  <si>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</si>
  <si>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</si>
  <si>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</si>
  <si>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</si>
  <si>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</si>
  <si>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</si>
  <si>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</si>
  <si>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</si>
  <si>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</si>
  <si>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</si>
  <si>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</si>
  <si>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</si>
  <si>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</si>
  <si>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</si>
  <si>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</si>
  <si>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</si>
  <si>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</si>
  <si>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</si>
  <si>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</si>
  <si>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</si>
  <si>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</si>
  <si>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</si>
  <si>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</si>
  <si>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</si>
  <si>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</si>
  <si>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</si>
  <si>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</si>
  <si>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</si>
  <si>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</si>
  <si>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</si>
  <si>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</si>
  <si>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</si>
  <si>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</si>
  <si>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Actualmente, los resultados de avance a metas se generaron a partir de los archivos en PDF cargados por la Secretaría de Planeación, con corte al 31 de marzo. En dichos documentos se encuentra el Informe de Avance del Plan de Desarrollo Local 2025–2028.</t>
  </si>
  <si>
    <t xml:space="preserve">Reporte metas de la DGDL </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</si>
  <si>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</si>
  <si>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</si>
  <si>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La meta alcanzó un 16,75%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</si>
  <si>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</si>
  <si>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</si>
  <si>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</si>
  <si>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</si>
  <si>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</si>
  <si>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</si>
  <si>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</si>
  <si>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</si>
  <si>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</si>
  <si>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</si>
  <si>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</si>
  <si>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</si>
  <si>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 xml:space="preserve">Se superó la meta programada para el 2do trimestre
</t>
  </si>
  <si>
    <t>Se superó la meta programada para el 3er trimestre</t>
  </si>
  <si>
    <t>Reporte ejecución Bogdata corte 30-09-2025</t>
  </si>
  <si>
    <t>La meta alcanzó un 100,00%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</si>
  <si>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</si>
  <si>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</si>
  <si>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</si>
  <si>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</si>
  <si>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</si>
  <si>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No se cumple con la meta programada para el 1er trimestre</t>
  </si>
  <si>
    <t>No se cumple con la meta programada para el 2do trimestre</t>
  </si>
  <si>
    <t>No se cumple con la meta programada para el 3er trimestre</t>
  </si>
  <si>
    <t>La meta alcanzó un 25,20%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</si>
  <si>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</si>
  <si>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</si>
  <si>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</si>
  <si>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</si>
  <si>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</si>
  <si>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</si>
  <si>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</si>
  <si>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</si>
  <si>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</si>
  <si>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</si>
  <si>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La meta alcanzó un 48,45%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</si>
  <si>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</si>
  <si>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</si>
  <si>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</si>
  <si>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</si>
  <si>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</si>
  <si>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</si>
  <si>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Se observa que el nivel de giros es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t>
  </si>
  <si>
    <t>El Fondo de Desarrollo Local no alcanzó el porcentaje de cumplimiento previsto en la meta del Plan de Gestión relacionada con los giros, a corte del 30 de septiembre. Esta situación obedece principalmente a los bajos niveles de ejecución derivados de la permanencia de varios procesos de selección en trámite, cuya adjudicación y posterior ejecución están proyectadas para los meses de octubre y noviembre.</t>
  </si>
  <si>
    <t>Reporte BOGDATA, corte 30 de septiembre</t>
  </si>
  <si>
    <t>La meta alcanzó un 47,06%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</si>
  <si>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</si>
  <si>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</si>
  <si>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</si>
  <si>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</si>
  <si>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</si>
  <si>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</si>
  <si>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</si>
  <si>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</si>
  <si>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</si>
  <si>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</si>
  <si>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</si>
  <si>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</si>
  <si>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La meta alcanzó un 75,00%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</si>
  <si>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</si>
  <si>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</si>
  <si>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</si>
  <si>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</si>
  <si>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</si>
  <si>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</si>
  <si>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En el reporte cualitativo del único proyecto con avance registrado, el FDL indica que se evidencia sobre Subsidio.
Adicionalmente, se observa que aún se encuentra desconciliado un proyecto de inversión.</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</si>
  <si>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</si>
  <si>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</si>
  <si>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</si>
  <si>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</si>
  <si>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La meta alcanzó un 96,00% del programado para la vigencia.</t>
  </si>
  <si>
    <t>Inspección, Vigilancia y Control</t>
  </si>
  <si>
    <t>8</t>
  </si>
  <si>
    <t>Realizar 27.051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</si>
  <si>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</si>
  <si>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</si>
  <si>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</si>
  <si>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</si>
  <si>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</si>
  <si>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</si>
  <si>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</si>
  <si>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</si>
  <si>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5.544 expedientes a cargo de las inspecciones de policía impulsados </t>
  </si>
  <si>
    <t>Memorando 20252200137553 Seguimiento a metas locales Planes de Gestión PRIMER Trimestre 2025 DGP</t>
  </si>
  <si>
    <t xml:space="preserve">Expedientes a cardo de las inspecciones de policia </t>
  </si>
  <si>
    <t>Reporte metas de la DGP segun radicado No 20252200258243</t>
  </si>
  <si>
    <t>Más el 11% de lo programado</t>
  </si>
  <si>
    <t>Reporte de seguimiento de impulsos procesales. Aplicativo ARCO</t>
  </si>
  <si>
    <t>La meta alcanzó un 76,54% del programado para la vigencia.</t>
  </si>
  <si>
    <t>9</t>
  </si>
  <si>
    <t>Proferir 7.560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</si>
  <si>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</si>
  <si>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</si>
  <si>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</si>
  <si>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1.268 fallos de fondo en primera instancia proferidos </t>
  </si>
  <si>
    <t xml:space="preserve">Fallos de fondo en primera instancia </t>
  </si>
  <si>
    <t>Menos el 19% de lo programado</t>
  </si>
  <si>
    <t>Reporte de seguimiento de fallos de fondo de actuaciones de policía. Aplicativo ARCO</t>
  </si>
  <si>
    <t>La meta alcanzó un 58,62% del programado para la vigencia.</t>
  </si>
  <si>
    <t>10</t>
  </si>
  <si>
    <t>Terminar (archivar) 675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</si>
  <si>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</si>
  <si>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</si>
  <si>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</si>
  <si>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</si>
  <si>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</si>
  <si>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49 actuaciones administrativas terminadas (archivadas) </t>
  </si>
  <si>
    <t xml:space="preserve">Actuaciones administrativas archivadas </t>
  </si>
  <si>
    <t>Menos el 99% de lo programado</t>
  </si>
  <si>
    <t>Reporte de seguimiento de actuaciones administrativas terminadas. Aplicativo SI ACTUA</t>
  </si>
  <si>
    <t>La meta alcanzó un 7,70% del programado para la vigencia.</t>
  </si>
  <si>
    <t>11</t>
  </si>
  <si>
    <t>Terminar 700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</si>
  <si>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</si>
  <si>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</si>
  <si>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</si>
  <si>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1 actuación Administrativa terminada hasta la primera instancia </t>
  </si>
  <si>
    <t xml:space="preserve">Actuaciones administrativas de primera instancia </t>
  </si>
  <si>
    <t>0% de lo programado</t>
  </si>
  <si>
    <t>Reporte de seguimiento de actuaciones administrativas terminadas por vía gubernativa. Aplicativo SI ACTUA</t>
  </si>
  <si>
    <t>La meta alcanzó un 0,14% del programado para la vigencia.</t>
  </si>
  <si>
    <t>12</t>
  </si>
  <si>
    <t>Realizar 161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</si>
  <si>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</si>
  <si>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</si>
  <si>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</si>
  <si>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</si>
  <si>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</si>
  <si>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da cumplimiento a la meta teniendo en cuenta que se realizaron 74 operativos de inspección, vigilancia y control en materia de integridad del espacio público, así: 40 en enero, 18 en febrero y 16 en marzo.
Se evidencia sobre cumplimiento debido a la priorización realizada por el Alcalde Local respecto a acciones de recuperación de Espacio Público como eje transversal a todos los componentes de IVC.</t>
  </si>
  <si>
    <t>Actas de los operativos realizados.</t>
  </si>
  <si>
    <t>Se da cumplimiento a la meta teniendo en cuenta que se realizaron 188 operativos de inspección, vigilancia y control en materia de integridad del espacio público, así: 73 en abril, 61 en mayo y 61 en junio.
Se evidencia sobre cumplimiento debido a la priorización realizada por el Alcalde Local respecto a acciones de recuperación de Espacio Público como eje transversal a todos los componentes de IVC.</t>
  </si>
  <si>
    <t>Se da cumplimiento a la meta teniendo en cuenta que se realizaron 218 operativos de inspección, vigilancia y control en materia de integridad del espacio público, así: 71 en julio, 79 en agosto y 68 en septiembre.
Se evidencia sobre cumplimiento debido a la priorización realizada por el Alcalde Local respecto a acciones de recuperación de Espacio Público como eje transversal a todos los componentes de IVC.</t>
  </si>
  <si>
    <t>13</t>
  </si>
  <si>
    <t>Realizar 393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</si>
  <si>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</si>
  <si>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</si>
  <si>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</si>
  <si>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66 operativos de inspección, vigilancia y control en materia de actividad económica, así: 40 en enero, 13 en febrero y 13 en marzo; se presenta contingencia en el proceso de contratación lo cual dificulta la ejecución de operativos por aproximadamente 1 mes.</t>
  </si>
  <si>
    <t>Se da cumplimiento a la meta teniendo en cuenta que se realizaron 122 operativos de inspección, vigilancia y control en materia de actividad económica, así: 30 en abril, 47 en mayo y 45 en junio.</t>
  </si>
  <si>
    <t xml:space="preserve">
Se da cumplimiento a la meta teniendo en cuenta que se realizaron 141 operativos de inspección, vigilancia y control en materia de actividad económica, así: 52 en julio, 43 en agosto y 46 en septiembre.</t>
  </si>
  <si>
    <t>La meta alcanzó un 83,72% del programado para la vigencia.</t>
  </si>
  <si>
    <t>14</t>
  </si>
  <si>
    <t>Realizar 11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</si>
  <si>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</si>
  <si>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</si>
  <si>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</si>
  <si>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Se da cumplimiento a la meta teniendo en cuenta que se realizaron 5 operativos realizados en materia de fallos río Bogotá, así: 2 en enero, 1 en febrero y 2 en marzo.</t>
  </si>
  <si>
    <t>Se da cumplimiento a la meta teniendo en cuenta que se realizaron 11 operativos realizados en materia de fallos río Bogotá, así: 4 en abril, 3 en mayo y 4 en junio.</t>
  </si>
  <si>
    <t xml:space="preserve">
Se da cumplimiento a la meta teniendo en cuenta que se realizaron 11 operativos realizados en materia de fallos río Bogotá, así: 4 en julio, 4 en agosto y 3 en septiembre.</t>
  </si>
  <si>
    <t>15</t>
  </si>
  <si>
    <t>Realizar 70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</si>
  <si>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</si>
  <si>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</si>
  <si>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</si>
  <si>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da cumplimiento a la meta teniendo en cuenta que se realizaron 22 operativos en materia de actividad ambiental, así: 12 en enero, 3 en febrero y 7 en marzo.</t>
  </si>
  <si>
    <t>Se da cumplimiento a la meta teniendo en cuenta que se realizaron 53 operativos en materia de actividad ambiental, así: 19 en abril, 19 en mayo y 15 en junio.</t>
  </si>
  <si>
    <t>Se da cumplimiento a la meta teniendo en cuenta que se realizaron 56 operativos en materia de actividad ambiental, así: 17 en julio, 19 en agosto y 20 en septiembre.</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</si>
  <si>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</si>
  <si>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</si>
  <si>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</si>
  <si>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</si>
  <si>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</si>
  <si>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</si>
  <si>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</si>
  <si>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</si>
  <si>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</si>
  <si>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</si>
  <si>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</si>
  <si>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</si>
  <si>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</si>
  <si>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</si>
  <si>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78%
Reporte consumo de agua y energía: información al día con corte a 30 de abril de 2025.
Reporte consumo de papel: No presenta reporte para la vigencia 2025
Reporte ciclistas: No presenta reporte para la vigencia 2025</t>
  </si>
  <si>
    <t>Reporte meta ambiental de la OAP</t>
  </si>
  <si>
    <t>No programada</t>
  </si>
  <si>
    <t>La meta alcanzó un  41,25% del programado para la vigencia.</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</si>
  <si>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</si>
  <si>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</si>
  <si>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</si>
  <si>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</si>
  <si>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</si>
  <si>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</si>
  <si>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</si>
  <si>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</si>
  <si>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</si>
  <si>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</si>
  <si>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</si>
  <si>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</si>
  <si>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</si>
  <si>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La Alcaldía Local de Engativá, cumplió 104 requisitos, de los 104 que debe cumplir para el tirmestre relacionado.</t>
  </si>
  <si>
    <t>La Alcaldía Local de Engativá, cumplió 104 requisitos, de los 104 que debe cumplir para el trimestre relacionado.</t>
  </si>
  <si>
    <t>Reporte de la Oficina Asesora de Comunicaciones a través de memorando 20251400383993.</t>
  </si>
  <si>
    <t>La meta alcanzó un 67,00% del programado para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</si>
  <si>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</si>
  <si>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</si>
  <si>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</si>
  <si>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</si>
  <si>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</si>
  <si>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</si>
  <si>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La alcaldia realizo la actividad programada para el periodo</t>
  </si>
  <si>
    <t>Listado de asistencia ; PPT y registro fotografico</t>
  </si>
  <si>
    <t>La meta alcanzó un 50% del programado para la vigencia.
Meta No Programada para el Trimestre I.</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</si>
  <si>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</si>
  <si>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</si>
  <si>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</si>
  <si>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</si>
  <si>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</si>
  <si>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</si>
  <si>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</si>
  <si>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</si>
  <si>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</si>
  <si>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</si>
  <si>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12 de 12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</si>
  <si>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</si>
  <si>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 xml:space="preserve">Meta no programada </t>
  </si>
  <si>
    <t>No programado</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</si>
  <si>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</si>
  <si>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</si>
  <si>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</si>
  <si>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</si>
  <si>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</si>
  <si>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</si>
  <si>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</si>
  <si>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93 de 93 requerimientos tipificados como derecho de petición ciudadano en los aplicativos Bogotá Te Escucha y ORFEO asignados.</t>
  </si>
  <si>
    <t xml:space="preserve">la alcaldia dio respuesta a 196  requerimientos de  los 196 instaurados  </t>
  </si>
  <si>
    <t>Segun reporte de la oficiana de atencion al ciudadano radicado No 20254600258433</t>
  </si>
  <si>
    <t>Se repondió oportunamente 184 de 195 requerimientos.</t>
  </si>
  <si>
    <t>Reporte de la Subsecretaría de Gestión Institucional - Servicio de Atención a la Ciudadanía a través de memorando 20254600383923.</t>
  </si>
  <si>
    <t>La meta alcanzó un 73,59%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</si>
  <si>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</si>
  <si>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</si>
  <si>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</si>
  <si>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</si>
  <si>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</si>
  <si>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</si>
  <si>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</si>
  <si>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</si>
  <si>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 xml:space="preserve">la alcaldia dio respuesta a lo programado para el periodod   </t>
  </si>
  <si>
    <t>Segun reporte de la DTI segun  radicado No 20254400249683</t>
  </si>
  <si>
    <t>La meta alcanzó un 100% del programado para la vigencia.</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</si>
  <si>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</si>
  <si>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</si>
  <si>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</si>
  <si>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</si>
  <si>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</si>
  <si>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</si>
  <si>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La meta alcanzó un 0% del programado para la vigencia.
Meta No Programada para los trimestres I, II ni III.</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</si>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</sst>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0">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b/>
      <sz val="11"/>
      <color rgb="FFFF0000"/>
      <name val="Calibri Light"/>
      <family val="2"/>
      <scheme val="major"/>
    </font>
    <font>
      <sz val="11"/>
      <color rgb="FF000000"/>
      <name val="Calibri Light"/>
      <family val="2"/>
    </font>
    <font>
      <sz val="11"/>
      <color rgb="FF0070C0"/>
      <name val="Calibri Light"/>
      <family val="2"/>
    </font>
    <font>
      <sz val="11"/>
      <color rgb="FF000000"/>
      <name val="Calibri Light"/>
      <family val="2"/>
      <scheme val="major"/>
    </font>
    <font>
      <sz val="11"/>
      <color rgb="FF000000"/>
      <name val="Aptos Display"/>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51">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9" fontId="1" fillId="0" borderId="1" xfId="1" applyFont="1" applyFill="1" applyBorder="1" applyAlignment="1">
      <alignment horizontal="justify"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1" fontId="5" fillId="0" borderId="1" xfId="0" applyNumberFormat="1" applyFont="1" applyBorder="1" applyAlignment="1">
      <alignment horizontal="center"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8" fillId="0" borderId="1" xfId="0" applyFont="1" applyBorder="1" applyAlignment="1">
      <alignment horizontal="left" vertical="center" wrapText="1"/>
    </xf>
    <xf numFmtId="9" fontId="7" fillId="3" borderId="2" xfId="1" applyFont="1" applyFill="1" applyBorder="1" applyAlignment="1">
      <alignment horizontal="right" vertical="center" wrapText="1"/>
    </xf>
    <xf numFmtId="9" fontId="7" fillId="3" borderId="13" xfId="1" applyFont="1" applyFill="1" applyBorder="1" applyAlignment="1">
      <alignment horizontal="right" vertical="center" wrapText="1"/>
    </xf>
    <xf numFmtId="10" fontId="7" fillId="3" borderId="14" xfId="1" applyNumberFormat="1" applyFont="1" applyFill="1" applyBorder="1" applyAlignment="1">
      <alignment vertical="center" wrapText="1"/>
    </xf>
    <xf numFmtId="0" fontId="6" fillId="3" borderId="3" xfId="0" applyFont="1" applyFill="1" applyBorder="1" applyAlignment="1">
      <alignment vertical="center" wrapText="1"/>
    </xf>
    <xf numFmtId="164" fontId="5" fillId="0" borderId="12" xfId="1" applyNumberFormat="1" applyFont="1" applyBorder="1" applyAlignment="1">
      <alignment horizontal="right" vertical="center" wrapText="1"/>
    </xf>
    <xf numFmtId="10" fontId="5" fillId="0" borderId="12" xfId="1"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0" fontId="19" fillId="0" borderId="14" xfId="0" applyFont="1" applyBorder="1" applyAlignment="1">
      <alignment vertical="center" wrapText="1"/>
    </xf>
    <xf numFmtId="0" fontId="19" fillId="0" borderId="15" xfId="0" applyFont="1" applyBorder="1" applyAlignment="1">
      <alignment vertical="center" wrapText="1"/>
    </xf>
    <xf numFmtId="164" fontId="18" fillId="0" borderId="1" xfId="0" applyNumberFormat="1" applyFont="1" applyBorder="1" applyAlignment="1">
      <alignment horizontal="right" vertical="center" wrapText="1"/>
    </xf>
    <xf numFmtId="10" fontId="1"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 fontId="3" fillId="0" borderId="1" xfId="0" applyNumberFormat="1" applyFont="1" applyBorder="1" applyAlignment="1">
      <alignment horizontal="right" vertical="center" wrapText="1"/>
    </xf>
    <xf numFmtId="1" fontId="3" fillId="0" borderId="11" xfId="0" applyNumberFormat="1" applyFont="1" applyBorder="1" applyAlignment="1">
      <alignment horizontal="right" vertical="center" wrapText="1"/>
    </xf>
    <xf numFmtId="10" fontId="5" fillId="9" borderId="12" xfId="1" applyNumberFormat="1" applyFont="1" applyFill="1" applyBorder="1" applyAlignment="1">
      <alignment horizontal="right" vertical="center" wrapText="1"/>
    </xf>
    <xf numFmtId="0" fontId="5" fillId="9" borderId="1" xfId="0" applyFont="1" applyFill="1" applyBorder="1" applyAlignment="1">
      <alignment horizontal="left" vertical="center" wrapText="1"/>
    </xf>
    <xf numFmtId="9" fontId="1" fillId="0" borderId="1" xfId="1" applyFont="1" applyBorder="1" applyAlignment="1">
      <alignment horizontal="right" vertical="center" wrapText="1"/>
    </xf>
    <xf numFmtId="10" fontId="1" fillId="0" borderId="1" xfId="1" applyNumberFormat="1" applyFont="1" applyBorder="1" applyAlignment="1">
      <alignment horizontal="right" vertical="center" wrapText="1"/>
    </xf>
    <xf numFmtId="0" fontId="1" fillId="0" borderId="1" xfId="0" applyFont="1" applyBorder="1" applyAlignment="1">
      <alignment horizontal="right" vertical="center" wrapText="1"/>
    </xf>
    <xf numFmtId="9" fontId="7" fillId="3" borderId="1" xfId="1" applyFont="1" applyFill="1" applyBorder="1" applyAlignment="1">
      <alignment horizontal="right" wrapText="1"/>
    </xf>
    <xf numFmtId="10" fontId="7" fillId="3" borderId="1" xfId="1" applyNumberFormat="1" applyFont="1" applyFill="1" applyBorder="1" applyAlignment="1">
      <alignment horizontal="right" wrapText="1"/>
    </xf>
    <xf numFmtId="10" fontId="5" fillId="0" borderId="1" xfId="1" applyNumberFormat="1" applyFont="1" applyBorder="1" applyAlignment="1">
      <alignment horizontal="right" vertical="center" wrapText="1"/>
    </xf>
    <xf numFmtId="1"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0" fontId="1" fillId="9" borderId="14"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0" borderId="1" xfId="0" applyFont="1" applyBorder="1" applyAlignment="1">
      <alignment horizontal="left" vertical="center" wrapText="1"/>
    </xf>
    <xf numFmtId="165" fontId="5" fillId="0" borderId="1" xfId="0" applyNumberFormat="1" applyFont="1" applyBorder="1" applyAlignment="1">
      <alignment horizontal="right" vertical="center" wrapText="1"/>
    </xf>
    <xf numFmtId="165" fontId="5" fillId="9" borderId="1" xfId="0" applyNumberFormat="1" applyFont="1" applyFill="1" applyBorder="1" applyAlignment="1">
      <alignment horizontal="right" vertical="center" wrapText="1"/>
    </xf>
    <xf numFmtId="0" fontId="1" fillId="0" borderId="14"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1" xfId="0" applyFont="1" applyFill="1" applyBorder="1" applyAlignment="1">
      <alignment horizontal="justify" vertical="center" wrapText="1"/>
    </xf>
    <xf numFmtId="0" fontId="1" fillId="9" borderId="14" xfId="0" applyFont="1" applyFill="1" applyBorder="1" applyAlignment="1">
      <alignment horizontal="justify"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542826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9"/>
  <sheetViews>
    <sheetView tabSelected="1" topLeftCell="E9" zoomScaleNormal="100" workbookViewId="0">
      <selection activeCell="AK1" sqref="AK1:AO1048576"/>
    </sheetView>
  </sheetViews>
  <sheetFormatPr defaultColWidth="10.85546875" defaultRowHeight="15"/>
  <cols>
    <col min="1" max="1" width="4.140625" style="1" customWidth="1"/>
    <col min="2" max="2" width="22"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4" customFormat="1" ht="70.5" customHeight="1">
      <c r="A1" s="113" t="s">
        <v>0</v>
      </c>
      <c r="B1" s="114"/>
      <c r="C1" s="114"/>
      <c r="D1" s="114"/>
      <c r="E1" s="114"/>
      <c r="F1" s="114"/>
      <c r="G1" s="114"/>
      <c r="H1" s="114"/>
      <c r="I1" s="114"/>
      <c r="J1" s="114"/>
      <c r="K1" s="114"/>
      <c r="L1" s="115" t="s">
        <v>1</v>
      </c>
      <c r="M1" s="115"/>
      <c r="N1" s="115"/>
      <c r="O1" s="115"/>
      <c r="P1" s="115"/>
    </row>
    <row r="2" spans="1:45" s="36" customFormat="1" ht="23.45" customHeight="1">
      <c r="A2" s="117" t="s">
        <v>2</v>
      </c>
      <c r="B2" s="118"/>
      <c r="C2" s="118"/>
      <c r="D2" s="118"/>
      <c r="E2" s="118"/>
      <c r="F2" s="118"/>
      <c r="G2" s="118"/>
      <c r="H2" s="118"/>
      <c r="I2" s="118"/>
      <c r="J2" s="118"/>
      <c r="K2" s="118"/>
      <c r="L2" s="35"/>
      <c r="M2" s="35"/>
      <c r="N2" s="35"/>
      <c r="O2" s="35"/>
      <c r="P2" s="35"/>
    </row>
    <row r="3" spans="1:45" s="34" customFormat="1"/>
    <row r="4" spans="1:45" s="34" customFormat="1" ht="29.1" customHeight="1">
      <c r="F4" s="109" t="s">
        <v>3</v>
      </c>
      <c r="G4" s="110"/>
      <c r="H4" s="110"/>
      <c r="I4" s="110"/>
      <c r="J4" s="110"/>
      <c r="K4" s="111"/>
    </row>
    <row r="5" spans="1:45" s="34" customFormat="1" ht="15" customHeight="1">
      <c r="F5" s="2" t="s">
        <v>4</v>
      </c>
      <c r="G5" s="2" t="s">
        <v>5</v>
      </c>
      <c r="H5" s="109" t="s">
        <v>6</v>
      </c>
      <c r="I5" s="110"/>
      <c r="J5" s="110"/>
      <c r="K5" s="111"/>
    </row>
    <row r="6" spans="1:45" s="34" customFormat="1">
      <c r="F6" s="33">
        <v>1</v>
      </c>
      <c r="G6" s="33" t="s">
        <v>7</v>
      </c>
      <c r="H6" s="112" t="s">
        <v>8</v>
      </c>
      <c r="I6" s="112"/>
      <c r="J6" s="112"/>
      <c r="K6" s="112"/>
    </row>
    <row r="7" spans="1:45" s="34" customFormat="1" ht="53.25" customHeight="1">
      <c r="F7" s="33">
        <v>2</v>
      </c>
      <c r="G7" s="33" t="s">
        <v>9</v>
      </c>
      <c r="H7" s="112" t="s">
        <v>10</v>
      </c>
      <c r="I7" s="112"/>
      <c r="J7" s="112"/>
      <c r="K7" s="112"/>
    </row>
    <row r="8" spans="1:45" s="34" customFormat="1" ht="61.5" customHeight="1">
      <c r="F8" s="33">
        <v>3</v>
      </c>
      <c r="G8" s="33" t="s">
        <v>11</v>
      </c>
      <c r="H8" s="112" t="s">
        <v>12</v>
      </c>
      <c r="I8" s="112"/>
      <c r="J8" s="112"/>
      <c r="K8" s="112"/>
    </row>
    <row r="9" spans="1:45" s="34" customFormat="1" ht="61.5" customHeight="1">
      <c r="F9" s="103">
        <v>4</v>
      </c>
      <c r="G9" s="103" t="s">
        <v>13</v>
      </c>
      <c r="H9" s="119" t="s">
        <v>14</v>
      </c>
      <c r="I9" s="119"/>
      <c r="J9" s="119"/>
      <c r="K9" s="119"/>
    </row>
    <row r="10" spans="1:45" s="34" customFormat="1" ht="61.5" customHeight="1">
      <c r="F10" s="102">
        <v>5</v>
      </c>
      <c r="G10" s="107" t="s">
        <v>15</v>
      </c>
      <c r="H10" s="120" t="s">
        <v>16</v>
      </c>
      <c r="I10" s="120"/>
      <c r="J10" s="120"/>
      <c r="K10" s="120"/>
    </row>
    <row r="11" spans="1:45" s="34" customFormat="1"/>
    <row r="12" spans="1:45" ht="14.45" customHeight="1">
      <c r="A12" s="108" t="s">
        <v>17</v>
      </c>
      <c r="B12" s="108"/>
      <c r="C12" s="108" t="s">
        <v>18</v>
      </c>
      <c r="D12" s="108" t="s">
        <v>19</v>
      </c>
      <c r="E12" s="108"/>
      <c r="F12" s="108"/>
      <c r="G12" s="116" t="s">
        <v>20</v>
      </c>
      <c r="H12" s="116"/>
      <c r="I12" s="116"/>
      <c r="J12" s="116"/>
      <c r="K12" s="116"/>
      <c r="L12" s="116"/>
      <c r="M12" s="116"/>
      <c r="N12" s="116"/>
      <c r="O12" s="116"/>
      <c r="P12" s="116"/>
      <c r="Q12" s="116"/>
      <c r="R12" s="108" t="s">
        <v>21</v>
      </c>
      <c r="S12" s="108"/>
      <c r="T12" s="108"/>
      <c r="U12" s="108"/>
      <c r="V12" s="121" t="s">
        <v>22</v>
      </c>
      <c r="W12" s="122"/>
      <c r="X12" s="122"/>
      <c r="Y12" s="122"/>
      <c r="Z12" s="123"/>
      <c r="AA12" s="127" t="s">
        <v>23</v>
      </c>
      <c r="AB12" s="128"/>
      <c r="AC12" s="128"/>
      <c r="AD12" s="128"/>
      <c r="AE12" s="129"/>
      <c r="AF12" s="133" t="s">
        <v>24</v>
      </c>
      <c r="AG12" s="134"/>
      <c r="AH12" s="134"/>
      <c r="AI12" s="134"/>
      <c r="AJ12" s="135"/>
      <c r="AK12" s="139" t="s">
        <v>25</v>
      </c>
      <c r="AL12" s="140"/>
      <c r="AM12" s="140"/>
      <c r="AN12" s="140"/>
      <c r="AO12" s="141"/>
      <c r="AP12" s="145" t="s">
        <v>26</v>
      </c>
      <c r="AQ12" s="146"/>
      <c r="AR12" s="146"/>
      <c r="AS12" s="147"/>
    </row>
    <row r="13" spans="1:45" ht="14.45" customHeight="1">
      <c r="A13" s="108"/>
      <c r="B13" s="108"/>
      <c r="C13" s="108"/>
      <c r="D13" s="108"/>
      <c r="E13" s="108"/>
      <c r="F13" s="108"/>
      <c r="G13" s="116"/>
      <c r="H13" s="116"/>
      <c r="I13" s="116"/>
      <c r="J13" s="116"/>
      <c r="K13" s="116"/>
      <c r="L13" s="116"/>
      <c r="M13" s="116"/>
      <c r="N13" s="116"/>
      <c r="O13" s="116"/>
      <c r="P13" s="116"/>
      <c r="Q13" s="116"/>
      <c r="R13" s="108"/>
      <c r="S13" s="108"/>
      <c r="T13" s="108"/>
      <c r="U13" s="108"/>
      <c r="V13" s="124"/>
      <c r="W13" s="125"/>
      <c r="X13" s="125"/>
      <c r="Y13" s="125"/>
      <c r="Z13" s="126"/>
      <c r="AA13" s="130"/>
      <c r="AB13" s="131"/>
      <c r="AC13" s="131"/>
      <c r="AD13" s="131"/>
      <c r="AE13" s="132"/>
      <c r="AF13" s="136"/>
      <c r="AG13" s="137"/>
      <c r="AH13" s="137"/>
      <c r="AI13" s="137"/>
      <c r="AJ13" s="138"/>
      <c r="AK13" s="142"/>
      <c r="AL13" s="143"/>
      <c r="AM13" s="143"/>
      <c r="AN13" s="143"/>
      <c r="AO13" s="144"/>
      <c r="AP13" s="148"/>
      <c r="AQ13" s="149"/>
      <c r="AR13" s="149"/>
      <c r="AS13" s="150"/>
    </row>
    <row r="14" spans="1:45" ht="45" customHeight="1">
      <c r="A14" s="2" t="s">
        <v>27</v>
      </c>
      <c r="B14" s="2" t="s">
        <v>28</v>
      </c>
      <c r="C14" s="108"/>
      <c r="D14" s="2" t="s">
        <v>29</v>
      </c>
      <c r="E14" s="2" t="s">
        <v>30</v>
      </c>
      <c r="F14" s="2" t="s">
        <v>31</v>
      </c>
      <c r="G14" s="19" t="s">
        <v>32</v>
      </c>
      <c r="H14" s="19" t="s">
        <v>33</v>
      </c>
      <c r="I14" s="19" t="s">
        <v>34</v>
      </c>
      <c r="J14" s="19" t="s">
        <v>35</v>
      </c>
      <c r="K14" s="19" t="s">
        <v>36</v>
      </c>
      <c r="L14" s="19" t="s">
        <v>37</v>
      </c>
      <c r="M14" s="19" t="s">
        <v>38</v>
      </c>
      <c r="N14" s="19" t="s">
        <v>39</v>
      </c>
      <c r="O14" s="19" t="s">
        <v>40</v>
      </c>
      <c r="P14" s="19" t="s">
        <v>41</v>
      </c>
      <c r="Q14" s="19" t="s">
        <v>42</v>
      </c>
      <c r="R14" s="2" t="s">
        <v>43</v>
      </c>
      <c r="S14" s="2" t="s">
        <v>44</v>
      </c>
      <c r="T14" s="2" t="s">
        <v>45</v>
      </c>
      <c r="U14" s="2" t="s">
        <v>46</v>
      </c>
      <c r="V14" s="3" t="s">
        <v>47</v>
      </c>
      <c r="W14" s="3" t="s">
        <v>48</v>
      </c>
      <c r="X14" s="3" t="s">
        <v>49</v>
      </c>
      <c r="Y14" s="3" t="s">
        <v>50</v>
      </c>
      <c r="Z14" s="3" t="s">
        <v>51</v>
      </c>
      <c r="AA14" s="21" t="s">
        <v>47</v>
      </c>
      <c r="AB14" s="21" t="s">
        <v>48</v>
      </c>
      <c r="AC14" s="21" t="s">
        <v>49</v>
      </c>
      <c r="AD14" s="21" t="s">
        <v>50</v>
      </c>
      <c r="AE14" s="21" t="s">
        <v>51</v>
      </c>
      <c r="AF14" s="22" t="s">
        <v>47</v>
      </c>
      <c r="AG14" s="22" t="s">
        <v>48</v>
      </c>
      <c r="AH14" s="22" t="s">
        <v>49</v>
      </c>
      <c r="AI14" s="22" t="s">
        <v>50</v>
      </c>
      <c r="AJ14" s="22" t="s">
        <v>51</v>
      </c>
      <c r="AK14" s="23" t="s">
        <v>47</v>
      </c>
      <c r="AL14" s="23" t="s">
        <v>48</v>
      </c>
      <c r="AM14" s="23" t="s">
        <v>49</v>
      </c>
      <c r="AN14" s="23" t="s">
        <v>50</v>
      </c>
      <c r="AO14" s="23" t="s">
        <v>51</v>
      </c>
      <c r="AP14" s="4" t="s">
        <v>47</v>
      </c>
      <c r="AQ14" s="4" t="s">
        <v>48</v>
      </c>
      <c r="AR14" s="4" t="s">
        <v>49</v>
      </c>
      <c r="AS14" s="4" t="s">
        <v>50</v>
      </c>
    </row>
    <row r="15" spans="1:45" s="28" customFormat="1" ht="165" customHeight="1">
      <c r="A15" s="55">
        <v>4</v>
      </c>
      <c r="B15" s="56" t="s">
        <v>52</v>
      </c>
      <c r="C15" s="20" t="s">
        <v>53</v>
      </c>
      <c r="D15" s="24" t="s">
        <v>54</v>
      </c>
      <c r="E15" s="20" t="s">
        <v>55</v>
      </c>
      <c r="F15" s="20" t="s">
        <v>56</v>
      </c>
      <c r="G15" s="20" t="s">
        <v>57</v>
      </c>
      <c r="H15" s="20" t="s">
        <v>58</v>
      </c>
      <c r="I15" s="29" t="s">
        <v>59</v>
      </c>
      <c r="J15" s="20" t="s">
        <v>60</v>
      </c>
      <c r="K15" s="20" t="s">
        <v>61</v>
      </c>
      <c r="L15" s="30">
        <v>0</v>
      </c>
      <c r="M15" s="30">
        <v>0.1</v>
      </c>
      <c r="N15" s="30">
        <v>0.2</v>
      </c>
      <c r="O15" s="30">
        <v>0.4</v>
      </c>
      <c r="P15" s="30">
        <f t="shared" ref="P15:P21" si="0">O15</f>
        <v>0.4</v>
      </c>
      <c r="Q15" s="20" t="s">
        <v>62</v>
      </c>
      <c r="R15" s="20" t="s">
        <v>63</v>
      </c>
      <c r="S15" s="20" t="s">
        <v>64</v>
      </c>
      <c r="T15" s="20" t="s">
        <v>65</v>
      </c>
      <c r="U15" s="20" t="s">
        <v>66</v>
      </c>
      <c r="V15" s="59">
        <f>L15</f>
        <v>0</v>
      </c>
      <c r="W15" s="59">
        <v>0</v>
      </c>
      <c r="X15" s="86">
        <f>IFERROR(IF(W15/V15&gt;100%,100%,W15/V15),0)</f>
        <v>0</v>
      </c>
      <c r="Y15" s="59" t="s">
        <v>67</v>
      </c>
      <c r="Z15" s="59" t="s">
        <v>67</v>
      </c>
      <c r="AA15" s="92">
        <f t="shared" ref="AA15:AA29" si="1">M15</f>
        <v>0.1</v>
      </c>
      <c r="AB15" s="61">
        <v>5.8999999999999997E-2</v>
      </c>
      <c r="AC15" s="93">
        <f>IFERROR(IF(AB15/AA15&gt;100%,100%,AB15/AA15),0)</f>
        <v>0.59</v>
      </c>
      <c r="AD15" s="20" t="s">
        <v>68</v>
      </c>
      <c r="AE15" s="20" t="s">
        <v>69</v>
      </c>
      <c r="AF15" s="60">
        <f t="shared" ref="AF15:AF29" si="2">N15</f>
        <v>0.2</v>
      </c>
      <c r="AG15" s="61">
        <v>6.7000000000000004E-2</v>
      </c>
      <c r="AH15" s="61">
        <f>IFERROR(IF(AG15/AF15&gt;100%,100%,AG15/AF15),0)</f>
        <v>0.33500000000000002</v>
      </c>
      <c r="AI15" s="20" t="s">
        <v>70</v>
      </c>
      <c r="AJ15" s="20" t="s">
        <v>71</v>
      </c>
      <c r="AK15" s="27">
        <f t="shared" ref="AK15:AK29" si="3">O15</f>
        <v>0.4</v>
      </c>
      <c r="AL15" s="20"/>
      <c r="AM15" s="20">
        <f>IF(AL15/AK15&gt;100%,100%,AL15/AK15)</f>
        <v>0</v>
      </c>
      <c r="AN15" s="20"/>
      <c r="AO15" s="20"/>
      <c r="AP15" s="60">
        <f t="shared" ref="AP15:AP29" si="4">P15</f>
        <v>0.4</v>
      </c>
      <c r="AQ15" s="70">
        <f>IFERROR(MAX(W15,AB15,AG15,AL15),0)</f>
        <v>6.7000000000000004E-2</v>
      </c>
      <c r="AR15" s="61">
        <f>IFERROR(IF(AQ15/AP15&gt;100%,100%,AQ15/AP15),0)</f>
        <v>0.16750000000000001</v>
      </c>
      <c r="AS15" s="71" t="s">
        <v>72</v>
      </c>
    </row>
    <row r="16" spans="1:45" s="28" customFormat="1" ht="120" customHeight="1">
      <c r="A16" s="55">
        <v>3</v>
      </c>
      <c r="B16" s="56" t="s">
        <v>73</v>
      </c>
      <c r="C16" s="20" t="s">
        <v>74</v>
      </c>
      <c r="D16" s="24" t="s">
        <v>75</v>
      </c>
      <c r="E16" s="20" t="s">
        <v>76</v>
      </c>
      <c r="F16" s="20" t="s">
        <v>56</v>
      </c>
      <c r="G16" s="20" t="s">
        <v>77</v>
      </c>
      <c r="H16" s="20" t="s">
        <v>78</v>
      </c>
      <c r="I16" s="20" t="s">
        <v>79</v>
      </c>
      <c r="J16" s="20" t="s">
        <v>60</v>
      </c>
      <c r="K16" s="20" t="s">
        <v>61</v>
      </c>
      <c r="L16" s="30">
        <v>0.12</v>
      </c>
      <c r="M16" s="30">
        <v>0.34</v>
      </c>
      <c r="N16" s="30">
        <v>0.51</v>
      </c>
      <c r="O16" s="30">
        <v>0.68</v>
      </c>
      <c r="P16" s="30">
        <f t="shared" si="0"/>
        <v>0.68</v>
      </c>
      <c r="Q16" s="20" t="s">
        <v>62</v>
      </c>
      <c r="R16" s="20" t="s">
        <v>80</v>
      </c>
      <c r="S16" s="20" t="s">
        <v>81</v>
      </c>
      <c r="T16" s="20" t="s">
        <v>82</v>
      </c>
      <c r="U16" s="20" t="s">
        <v>66</v>
      </c>
      <c r="V16" s="60">
        <f t="shared" ref="V16:V29" si="5">L16</f>
        <v>0.12</v>
      </c>
      <c r="W16" s="82">
        <v>0.29509999999999997</v>
      </c>
      <c r="X16" s="86">
        <f>IFERROR(IF(W16/V16&gt;100%,100%,W16/V16),0)</f>
        <v>1</v>
      </c>
      <c r="Y16" s="81" t="s">
        <v>83</v>
      </c>
      <c r="Z16" s="59" t="s">
        <v>84</v>
      </c>
      <c r="AA16" s="92">
        <f t="shared" si="1"/>
        <v>0.34</v>
      </c>
      <c r="AB16" s="61">
        <v>0.41880000000000001</v>
      </c>
      <c r="AC16" s="93">
        <f t="shared" ref="AC16:AC19" si="6">IFERROR(IF(AB16/AA16&gt;100%,100%,AB16/AA16),0)</f>
        <v>1</v>
      </c>
      <c r="AD16" s="20" t="s">
        <v>85</v>
      </c>
      <c r="AE16" s="20" t="s">
        <v>69</v>
      </c>
      <c r="AF16" s="60">
        <f t="shared" si="2"/>
        <v>0.51</v>
      </c>
      <c r="AG16" s="61">
        <v>0.72050000000000003</v>
      </c>
      <c r="AH16" s="61">
        <f t="shared" ref="AH16:AH29" si="7">IFERROR(IF(AG16/AF16&gt;100%,100%,AG16/AF16),0)</f>
        <v>1</v>
      </c>
      <c r="AI16" s="20" t="s">
        <v>86</v>
      </c>
      <c r="AJ16" s="20" t="s">
        <v>87</v>
      </c>
      <c r="AK16" s="27">
        <f t="shared" si="3"/>
        <v>0.68</v>
      </c>
      <c r="AL16" s="20"/>
      <c r="AM16" s="20">
        <f t="shared" ref="AM16:AM29" si="8">IF(AL16/AK16&gt;100%,100%,AL16/AK16)</f>
        <v>0</v>
      </c>
      <c r="AN16" s="20"/>
      <c r="AO16" s="20"/>
      <c r="AP16" s="60">
        <f t="shared" si="4"/>
        <v>0.68</v>
      </c>
      <c r="AQ16" s="70">
        <f>IFERROR(MAX(W16,AB16,AG16,AL16),0)</f>
        <v>0.72050000000000003</v>
      </c>
      <c r="AR16" s="61">
        <f t="shared" ref="AR16:AR19" si="9">IFERROR(IF(AQ16/AP16&gt;100%,100%,AQ16/AP16),0)</f>
        <v>1</v>
      </c>
      <c r="AS16" s="71" t="s">
        <v>88</v>
      </c>
    </row>
    <row r="17" spans="1:45" s="28" customFormat="1" ht="135" customHeight="1">
      <c r="A17" s="55">
        <v>3</v>
      </c>
      <c r="B17" s="56" t="s">
        <v>73</v>
      </c>
      <c r="C17" s="20" t="s">
        <v>74</v>
      </c>
      <c r="D17" s="24" t="s">
        <v>89</v>
      </c>
      <c r="E17" s="20" t="s">
        <v>90</v>
      </c>
      <c r="F17" s="20" t="s">
        <v>56</v>
      </c>
      <c r="G17" s="20" t="s">
        <v>91</v>
      </c>
      <c r="H17" s="20" t="s">
        <v>92</v>
      </c>
      <c r="I17" s="20" t="s">
        <v>93</v>
      </c>
      <c r="J17" s="20" t="s">
        <v>60</v>
      </c>
      <c r="K17" s="20" t="s">
        <v>61</v>
      </c>
      <c r="L17" s="30">
        <v>0.12</v>
      </c>
      <c r="M17" s="30">
        <v>0.3</v>
      </c>
      <c r="N17" s="30">
        <v>0.48</v>
      </c>
      <c r="O17" s="30">
        <v>0.65</v>
      </c>
      <c r="P17" s="30">
        <f t="shared" si="0"/>
        <v>0.65</v>
      </c>
      <c r="Q17" s="20" t="s">
        <v>62</v>
      </c>
      <c r="R17" s="20" t="s">
        <v>80</v>
      </c>
      <c r="S17" s="20" t="s">
        <v>81</v>
      </c>
      <c r="T17" s="20" t="s">
        <v>82</v>
      </c>
      <c r="U17" s="20" t="s">
        <v>66</v>
      </c>
      <c r="V17" s="60">
        <f t="shared" si="5"/>
        <v>0.12</v>
      </c>
      <c r="W17" s="82">
        <v>5.0000000000000001E-4</v>
      </c>
      <c r="X17" s="86">
        <f>IFERROR(IF(W17/V17&gt;100%,100%,W17/V17),0)</f>
        <v>4.1666666666666666E-3</v>
      </c>
      <c r="Y17" s="81" t="s">
        <v>94</v>
      </c>
      <c r="Z17" s="59" t="s">
        <v>84</v>
      </c>
      <c r="AA17" s="92">
        <f t="shared" si="1"/>
        <v>0.3</v>
      </c>
      <c r="AB17" s="61">
        <v>0.13300000000000001</v>
      </c>
      <c r="AC17" s="93">
        <f t="shared" si="6"/>
        <v>0.44333333333333336</v>
      </c>
      <c r="AD17" s="20" t="s">
        <v>95</v>
      </c>
      <c r="AE17" s="20" t="s">
        <v>69</v>
      </c>
      <c r="AF17" s="60">
        <f t="shared" si="2"/>
        <v>0.48</v>
      </c>
      <c r="AG17" s="61">
        <v>0.1638</v>
      </c>
      <c r="AH17" s="61">
        <f t="shared" si="7"/>
        <v>0.34125</v>
      </c>
      <c r="AI17" s="20" t="s">
        <v>96</v>
      </c>
      <c r="AJ17" s="20" t="s">
        <v>87</v>
      </c>
      <c r="AK17" s="27">
        <f t="shared" si="3"/>
        <v>0.65</v>
      </c>
      <c r="AL17" s="20"/>
      <c r="AM17" s="20">
        <f t="shared" si="8"/>
        <v>0</v>
      </c>
      <c r="AN17" s="20"/>
      <c r="AO17" s="20"/>
      <c r="AP17" s="60">
        <f t="shared" si="4"/>
        <v>0.65</v>
      </c>
      <c r="AQ17" s="70">
        <f>IFERROR(MAX(W17,AB17,AG17,AL17),0)</f>
        <v>0.1638</v>
      </c>
      <c r="AR17" s="61">
        <f t="shared" si="9"/>
        <v>0.252</v>
      </c>
      <c r="AS17" s="71" t="s">
        <v>97</v>
      </c>
    </row>
    <row r="18" spans="1:45" s="28" customFormat="1" ht="105" customHeight="1">
      <c r="A18" s="55">
        <v>3</v>
      </c>
      <c r="B18" s="56" t="s">
        <v>73</v>
      </c>
      <c r="C18" s="20" t="s">
        <v>74</v>
      </c>
      <c r="D18" s="24" t="s">
        <v>98</v>
      </c>
      <c r="E18" s="20" t="s">
        <v>99</v>
      </c>
      <c r="F18" s="20" t="s">
        <v>56</v>
      </c>
      <c r="G18" s="20" t="s">
        <v>100</v>
      </c>
      <c r="H18" s="20" t="s">
        <v>101</v>
      </c>
      <c r="I18" s="29" t="s">
        <v>102</v>
      </c>
      <c r="J18" s="20" t="s">
        <v>60</v>
      </c>
      <c r="K18" s="20" t="s">
        <v>61</v>
      </c>
      <c r="L18" s="30">
        <v>0.18</v>
      </c>
      <c r="M18" s="30">
        <v>0.35</v>
      </c>
      <c r="N18" s="30">
        <v>0.7</v>
      </c>
      <c r="O18" s="30">
        <v>0.97</v>
      </c>
      <c r="P18" s="30">
        <f t="shared" si="0"/>
        <v>0.97</v>
      </c>
      <c r="Q18" s="20" t="s">
        <v>62</v>
      </c>
      <c r="R18" s="20" t="s">
        <v>80</v>
      </c>
      <c r="S18" s="20" t="s">
        <v>81</v>
      </c>
      <c r="T18" s="20" t="s">
        <v>82</v>
      </c>
      <c r="U18" s="20" t="s">
        <v>66</v>
      </c>
      <c r="V18" s="60">
        <f t="shared" si="5"/>
        <v>0.18</v>
      </c>
      <c r="W18" s="82">
        <v>0.16200000000000001</v>
      </c>
      <c r="X18" s="86">
        <f>IFERROR(IF(W18/V18&gt;100%,100%,W18/V18),0)</f>
        <v>0.9</v>
      </c>
      <c r="Y18" s="81" t="s">
        <v>103</v>
      </c>
      <c r="Z18" s="59" t="s">
        <v>104</v>
      </c>
      <c r="AA18" s="92">
        <f t="shared" si="1"/>
        <v>0.35</v>
      </c>
      <c r="AB18" s="61">
        <v>0.28699999999999998</v>
      </c>
      <c r="AC18" s="93">
        <f>IFERROR(IF(AB18/AA18&gt;100%,100%,AB18/AA18),0)</f>
        <v>0.82</v>
      </c>
      <c r="AD18" s="20" t="s">
        <v>105</v>
      </c>
      <c r="AE18" s="20" t="s">
        <v>69</v>
      </c>
      <c r="AF18" s="60">
        <f t="shared" si="2"/>
        <v>0.7</v>
      </c>
      <c r="AG18" s="60">
        <v>0.47</v>
      </c>
      <c r="AH18" s="61">
        <f>IFERROR(IF(AG18/AF18&gt;100%,100%,AG18/AF18),0)</f>
        <v>0.67142857142857149</v>
      </c>
      <c r="AI18" s="20" t="s">
        <v>106</v>
      </c>
      <c r="AJ18" s="20" t="s">
        <v>107</v>
      </c>
      <c r="AK18" s="27">
        <f t="shared" si="3"/>
        <v>0.97</v>
      </c>
      <c r="AL18" s="20"/>
      <c r="AM18" s="20">
        <f t="shared" si="8"/>
        <v>0</v>
      </c>
      <c r="AN18" s="20"/>
      <c r="AO18" s="20"/>
      <c r="AP18" s="60">
        <f t="shared" si="4"/>
        <v>0.97</v>
      </c>
      <c r="AQ18" s="70">
        <f>IFERROR(MAX(W18,AB18,AG18,AL18),0)</f>
        <v>0.47</v>
      </c>
      <c r="AR18" s="61">
        <f>IFERROR(IF(AQ18/AP18&gt;100%,100%,AQ18/AP18),0)</f>
        <v>0.4845360824742268</v>
      </c>
      <c r="AS18" s="71" t="s">
        <v>108</v>
      </c>
    </row>
    <row r="19" spans="1:45" s="28" customFormat="1" ht="105" customHeight="1">
      <c r="A19" s="55">
        <v>3</v>
      </c>
      <c r="B19" s="56" t="s">
        <v>73</v>
      </c>
      <c r="C19" s="20" t="s">
        <v>74</v>
      </c>
      <c r="D19" s="24" t="s">
        <v>109</v>
      </c>
      <c r="E19" s="20" t="s">
        <v>110</v>
      </c>
      <c r="F19" s="20" t="s">
        <v>56</v>
      </c>
      <c r="G19" s="20" t="s">
        <v>111</v>
      </c>
      <c r="H19" s="20" t="s">
        <v>112</v>
      </c>
      <c r="I19" s="29" t="s">
        <v>113</v>
      </c>
      <c r="J19" s="20" t="s">
        <v>60</v>
      </c>
      <c r="K19" s="20" t="s">
        <v>61</v>
      </c>
      <c r="L19" s="30">
        <v>0.05</v>
      </c>
      <c r="M19" s="30">
        <v>0.15</v>
      </c>
      <c r="N19" s="30">
        <v>0.33</v>
      </c>
      <c r="O19" s="30">
        <v>0.51</v>
      </c>
      <c r="P19" s="30">
        <f t="shared" si="0"/>
        <v>0.51</v>
      </c>
      <c r="Q19" s="20" t="s">
        <v>62</v>
      </c>
      <c r="R19" s="20" t="s">
        <v>80</v>
      </c>
      <c r="S19" s="20" t="s">
        <v>81</v>
      </c>
      <c r="T19" s="20" t="s">
        <v>82</v>
      </c>
      <c r="U19" s="20" t="s">
        <v>66</v>
      </c>
      <c r="V19" s="60">
        <f t="shared" si="5"/>
        <v>0.05</v>
      </c>
      <c r="W19" s="82">
        <v>1.4E-2</v>
      </c>
      <c r="X19" s="86">
        <f t="shared" ref="X19:X20" si="10">IFERROR(IF(W19/V19&gt;100%,100%,W19/V19),0)</f>
        <v>0.27999999999999997</v>
      </c>
      <c r="Y19" s="81" t="s">
        <v>114</v>
      </c>
      <c r="Z19" s="59" t="s">
        <v>104</v>
      </c>
      <c r="AA19" s="92">
        <f t="shared" si="1"/>
        <v>0.15</v>
      </c>
      <c r="AB19" s="61">
        <v>0.1336</v>
      </c>
      <c r="AC19" s="93">
        <f t="shared" si="6"/>
        <v>0.89066666666666672</v>
      </c>
      <c r="AD19" s="20" t="s">
        <v>115</v>
      </c>
      <c r="AE19" s="20" t="s">
        <v>69</v>
      </c>
      <c r="AF19" s="60">
        <f t="shared" si="2"/>
        <v>0.33</v>
      </c>
      <c r="AG19" s="60">
        <v>0.24</v>
      </c>
      <c r="AH19" s="61">
        <f t="shared" si="7"/>
        <v>0.72727272727272718</v>
      </c>
      <c r="AI19" s="20" t="s">
        <v>116</v>
      </c>
      <c r="AJ19" s="20" t="s">
        <v>117</v>
      </c>
      <c r="AK19" s="27">
        <f t="shared" si="3"/>
        <v>0.51</v>
      </c>
      <c r="AL19" s="20"/>
      <c r="AM19" s="20">
        <f t="shared" si="8"/>
        <v>0</v>
      </c>
      <c r="AN19" s="20"/>
      <c r="AO19" s="20"/>
      <c r="AP19" s="60">
        <f t="shared" si="4"/>
        <v>0.51</v>
      </c>
      <c r="AQ19" s="70">
        <f>IFERROR(MAX(W19,AB19,AG19,AL19),0)</f>
        <v>0.24</v>
      </c>
      <c r="AR19" s="61">
        <f t="shared" si="9"/>
        <v>0.47058823529411764</v>
      </c>
      <c r="AS19" s="71" t="s">
        <v>118</v>
      </c>
    </row>
    <row r="20" spans="1:45" s="28" customFormat="1" ht="270" customHeight="1">
      <c r="A20" s="55">
        <v>3</v>
      </c>
      <c r="B20" s="56" t="s">
        <v>73</v>
      </c>
      <c r="C20" s="20" t="s">
        <v>74</v>
      </c>
      <c r="D20" s="24" t="s">
        <v>119</v>
      </c>
      <c r="E20" s="20" t="s">
        <v>120</v>
      </c>
      <c r="F20" s="20" t="s">
        <v>56</v>
      </c>
      <c r="G20" s="20" t="s">
        <v>121</v>
      </c>
      <c r="H20" s="20" t="s">
        <v>122</v>
      </c>
      <c r="I20" s="20" t="s">
        <v>123</v>
      </c>
      <c r="J20" s="20" t="s">
        <v>124</v>
      </c>
      <c r="K20" s="20" t="s">
        <v>61</v>
      </c>
      <c r="L20" s="30">
        <v>0.97</v>
      </c>
      <c r="M20" s="30">
        <v>0.97</v>
      </c>
      <c r="N20" s="30">
        <v>0.97</v>
      </c>
      <c r="O20" s="30">
        <v>0.97</v>
      </c>
      <c r="P20" s="30">
        <f t="shared" si="0"/>
        <v>0.97</v>
      </c>
      <c r="Q20" s="20" t="s">
        <v>62</v>
      </c>
      <c r="R20" s="20" t="s">
        <v>80</v>
      </c>
      <c r="S20" s="20" t="s">
        <v>125</v>
      </c>
      <c r="T20" s="20" t="s">
        <v>82</v>
      </c>
      <c r="U20" s="20" t="s">
        <v>66</v>
      </c>
      <c r="V20" s="60">
        <f t="shared" si="5"/>
        <v>0.97</v>
      </c>
      <c r="W20" s="82">
        <v>1</v>
      </c>
      <c r="X20" s="86">
        <f t="shared" si="10"/>
        <v>1</v>
      </c>
      <c r="Y20" s="81" t="s">
        <v>126</v>
      </c>
      <c r="Z20" s="59" t="s">
        <v>127</v>
      </c>
      <c r="AA20" s="92">
        <f t="shared" si="1"/>
        <v>0.97</v>
      </c>
      <c r="AB20" s="60">
        <v>0.92</v>
      </c>
      <c r="AC20" s="93">
        <f>IFERROR(IF(AB20/AA20&gt;100%,100%,AB20/AA20),0)</f>
        <v>0.94845360824742275</v>
      </c>
      <c r="AD20" s="20" t="s">
        <v>128</v>
      </c>
      <c r="AE20" s="20" t="s">
        <v>69</v>
      </c>
      <c r="AF20" s="60">
        <f t="shared" si="2"/>
        <v>0.97</v>
      </c>
      <c r="AG20" s="60">
        <v>0.99</v>
      </c>
      <c r="AH20" s="61">
        <f t="shared" si="7"/>
        <v>1</v>
      </c>
      <c r="AI20" s="20" t="s">
        <v>129</v>
      </c>
      <c r="AJ20" s="20" t="s">
        <v>130</v>
      </c>
      <c r="AK20" s="27">
        <f t="shared" si="3"/>
        <v>0.97</v>
      </c>
      <c r="AL20" s="20"/>
      <c r="AM20" s="20">
        <f t="shared" si="8"/>
        <v>0</v>
      </c>
      <c r="AN20" s="20"/>
      <c r="AO20" s="20"/>
      <c r="AP20" s="60">
        <f t="shared" si="4"/>
        <v>0.97</v>
      </c>
      <c r="AQ20" s="70">
        <f>IFERROR(AVERAGE(W20,AB20,AG20,AL20)*0.75,0)</f>
        <v>0.72750000000000004</v>
      </c>
      <c r="AR20" s="61">
        <f>IFERROR(IF(AQ20/AP20&gt;100%,100%,AQ20/AP20),0)</f>
        <v>0.75000000000000011</v>
      </c>
      <c r="AS20" s="71" t="s">
        <v>131</v>
      </c>
    </row>
    <row r="21" spans="1:45" s="28" customFormat="1" ht="150" customHeight="1">
      <c r="A21" s="55">
        <v>3</v>
      </c>
      <c r="B21" s="56" t="s">
        <v>73</v>
      </c>
      <c r="C21" s="20" t="s">
        <v>74</v>
      </c>
      <c r="D21" s="24" t="s">
        <v>132</v>
      </c>
      <c r="E21" s="20" t="s">
        <v>133</v>
      </c>
      <c r="F21" s="20" t="s">
        <v>134</v>
      </c>
      <c r="G21" s="20" t="s">
        <v>135</v>
      </c>
      <c r="H21" s="20" t="s">
        <v>136</v>
      </c>
      <c r="I21" s="20" t="s">
        <v>137</v>
      </c>
      <c r="J21" s="20" t="s">
        <v>60</v>
      </c>
      <c r="K21" s="20" t="s">
        <v>61</v>
      </c>
      <c r="L21" s="30">
        <v>0.4</v>
      </c>
      <c r="M21" s="30">
        <v>0.7</v>
      </c>
      <c r="N21" s="54">
        <v>0.9</v>
      </c>
      <c r="O21" s="30">
        <v>1</v>
      </c>
      <c r="P21" s="30">
        <f t="shared" si="0"/>
        <v>1</v>
      </c>
      <c r="Q21" s="20" t="s">
        <v>62</v>
      </c>
      <c r="R21" s="20" t="s">
        <v>80</v>
      </c>
      <c r="S21" s="20" t="s">
        <v>125</v>
      </c>
      <c r="T21" s="20" t="s">
        <v>82</v>
      </c>
      <c r="U21" s="20" t="s">
        <v>66</v>
      </c>
      <c r="V21" s="60">
        <f t="shared" si="5"/>
        <v>0.4</v>
      </c>
      <c r="W21" s="85">
        <v>1.2999999999999999E-2</v>
      </c>
      <c r="X21" s="86">
        <f>IFERROR(IF(W21/V21&gt;100%,100%,W21/V21),0)</f>
        <v>3.2499999999999994E-2</v>
      </c>
      <c r="Y21" s="83" t="s">
        <v>138</v>
      </c>
      <c r="Z21" s="84" t="s">
        <v>139</v>
      </c>
      <c r="AA21" s="60">
        <f t="shared" si="1"/>
        <v>0.7</v>
      </c>
      <c r="AB21" s="60">
        <v>0.96</v>
      </c>
      <c r="AC21" s="93">
        <f>IFERROR(IF(AB21/AA21&gt;100%,100%,AB21/AA21),0)</f>
        <v>1</v>
      </c>
      <c r="AD21" s="20" t="s">
        <v>140</v>
      </c>
      <c r="AE21" s="20" t="s">
        <v>69</v>
      </c>
      <c r="AF21" s="60">
        <f t="shared" si="2"/>
        <v>0.9</v>
      </c>
      <c r="AG21" s="60">
        <v>0.86</v>
      </c>
      <c r="AH21" s="61">
        <f t="shared" si="7"/>
        <v>0.95555555555555549</v>
      </c>
      <c r="AI21" s="20" t="s">
        <v>141</v>
      </c>
      <c r="AJ21" s="20" t="s">
        <v>142</v>
      </c>
      <c r="AK21" s="27">
        <f t="shared" si="3"/>
        <v>1</v>
      </c>
      <c r="AL21" s="20"/>
      <c r="AM21" s="20">
        <f t="shared" si="8"/>
        <v>0</v>
      </c>
      <c r="AN21" s="20"/>
      <c r="AO21" s="20"/>
      <c r="AP21" s="60">
        <f t="shared" si="4"/>
        <v>1</v>
      </c>
      <c r="AQ21" s="70">
        <f>IFERROR(MAX(W21,AB21,AG21,AL21),0)</f>
        <v>0.96</v>
      </c>
      <c r="AR21" s="61">
        <f>IFERROR(IF(AQ21/AP21&gt;100%,100%,AQ21/AP21),0)</f>
        <v>0.96</v>
      </c>
      <c r="AS21" s="71" t="s">
        <v>143</v>
      </c>
    </row>
    <row r="22" spans="1:45" s="28" customFormat="1" ht="109.5" customHeight="1">
      <c r="A22" s="55">
        <v>4</v>
      </c>
      <c r="B22" s="56" t="s">
        <v>52</v>
      </c>
      <c r="C22" s="20" t="s">
        <v>144</v>
      </c>
      <c r="D22" s="24" t="s">
        <v>145</v>
      </c>
      <c r="E22" s="20" t="s">
        <v>146</v>
      </c>
      <c r="F22" s="20" t="s">
        <v>56</v>
      </c>
      <c r="G22" s="20" t="s">
        <v>147</v>
      </c>
      <c r="H22" s="20" t="s">
        <v>148</v>
      </c>
      <c r="I22" s="20" t="s">
        <v>149</v>
      </c>
      <c r="J22" s="20" t="s">
        <v>150</v>
      </c>
      <c r="K22" s="20" t="s">
        <v>147</v>
      </c>
      <c r="L22" s="27">
        <v>6387</v>
      </c>
      <c r="M22" s="27">
        <v>6387</v>
      </c>
      <c r="N22" s="27">
        <v>7890</v>
      </c>
      <c r="O22" s="27">
        <v>6387</v>
      </c>
      <c r="P22" s="27">
        <f>SUM(L22:O22)</f>
        <v>27051</v>
      </c>
      <c r="Q22" s="20" t="s">
        <v>62</v>
      </c>
      <c r="R22" s="20" t="s">
        <v>151</v>
      </c>
      <c r="S22" s="20" t="s">
        <v>152</v>
      </c>
      <c r="T22" s="20" t="s">
        <v>153</v>
      </c>
      <c r="U22" s="20" t="s">
        <v>154</v>
      </c>
      <c r="V22" s="62">
        <f t="shared" si="5"/>
        <v>6387</v>
      </c>
      <c r="W22" s="62">
        <v>5544</v>
      </c>
      <c r="X22" s="86">
        <f>IFERROR(IF(W22/V22&gt;100%,100%,W22/V22),0)</f>
        <v>0.86801315171441995</v>
      </c>
      <c r="Y22" s="81" t="s">
        <v>155</v>
      </c>
      <c r="Z22" s="59" t="s">
        <v>156</v>
      </c>
      <c r="AA22" s="62">
        <f t="shared" si="1"/>
        <v>6387</v>
      </c>
      <c r="AB22" s="94">
        <v>6391</v>
      </c>
      <c r="AC22" s="93">
        <f t="shared" ref="AC22" si="11">IFERROR(IF(AB22/AA22&gt;100%,100%,AB22/AA22),0)</f>
        <v>1</v>
      </c>
      <c r="AD22" s="20" t="s">
        <v>157</v>
      </c>
      <c r="AE22" s="20" t="s">
        <v>158</v>
      </c>
      <c r="AF22" s="62">
        <f t="shared" si="2"/>
        <v>7890</v>
      </c>
      <c r="AG22" s="94">
        <v>8770</v>
      </c>
      <c r="AH22" s="61">
        <f t="shared" si="7"/>
        <v>1</v>
      </c>
      <c r="AI22" s="20" t="s">
        <v>159</v>
      </c>
      <c r="AJ22" s="20" t="s">
        <v>160</v>
      </c>
      <c r="AK22" s="27">
        <f t="shared" si="3"/>
        <v>6387</v>
      </c>
      <c r="AL22" s="20"/>
      <c r="AM22" s="20">
        <f t="shared" si="8"/>
        <v>0</v>
      </c>
      <c r="AN22" s="20"/>
      <c r="AO22" s="20"/>
      <c r="AP22" s="62">
        <f t="shared" si="4"/>
        <v>27051</v>
      </c>
      <c r="AQ22" s="88">
        <f t="shared" ref="AQ22:AQ29" si="12">IFERROR(W22+AB22+AG22+AL22,0)</f>
        <v>20705</v>
      </c>
      <c r="AR22" s="61">
        <f t="shared" ref="AR22" si="13">IFERROR(IF(AQ22/AP22&gt;100%,100%,AQ22/AP22),0)</f>
        <v>0.76540608480277994</v>
      </c>
      <c r="AS22" s="71" t="s">
        <v>161</v>
      </c>
    </row>
    <row r="23" spans="1:45" s="28" customFormat="1" ht="109.5" customHeight="1">
      <c r="A23" s="55">
        <v>4</v>
      </c>
      <c r="B23" s="56" t="s">
        <v>52</v>
      </c>
      <c r="C23" s="20" t="s">
        <v>144</v>
      </c>
      <c r="D23" s="24" t="s">
        <v>162</v>
      </c>
      <c r="E23" s="20" t="s">
        <v>163</v>
      </c>
      <c r="F23" s="20" t="s">
        <v>56</v>
      </c>
      <c r="G23" s="20" t="s">
        <v>164</v>
      </c>
      <c r="H23" s="20" t="s">
        <v>165</v>
      </c>
      <c r="I23" s="20" t="s">
        <v>149</v>
      </c>
      <c r="J23" s="20" t="s">
        <v>150</v>
      </c>
      <c r="K23" s="20" t="s">
        <v>164</v>
      </c>
      <c r="L23" s="27">
        <v>1785</v>
      </c>
      <c r="M23" s="27">
        <v>1785</v>
      </c>
      <c r="N23" s="27">
        <v>2205</v>
      </c>
      <c r="O23" s="27">
        <v>1785</v>
      </c>
      <c r="P23" s="27">
        <f t="shared" ref="P23:P29" si="14">SUM(L23:O23)</f>
        <v>7560</v>
      </c>
      <c r="Q23" s="20" t="s">
        <v>62</v>
      </c>
      <c r="R23" s="31" t="s">
        <v>166</v>
      </c>
      <c r="S23" s="31" t="s">
        <v>152</v>
      </c>
      <c r="T23" s="20" t="s">
        <v>153</v>
      </c>
      <c r="U23" s="20" t="s">
        <v>154</v>
      </c>
      <c r="V23" s="62">
        <f t="shared" si="5"/>
        <v>1785</v>
      </c>
      <c r="W23" s="62">
        <v>1268</v>
      </c>
      <c r="X23" s="86">
        <f t="shared" ref="X23" si="15">IFERROR(IF(W23/V23&gt;100%,100%,W23/V23),0)</f>
        <v>0.71036414565826334</v>
      </c>
      <c r="Y23" s="81" t="s">
        <v>167</v>
      </c>
      <c r="Z23" s="59" t="s">
        <v>156</v>
      </c>
      <c r="AA23" s="62">
        <f t="shared" si="1"/>
        <v>1785</v>
      </c>
      <c r="AB23" s="94">
        <v>1371</v>
      </c>
      <c r="AC23" s="93">
        <f>IFERROR(IF(AB23/AA23&gt;100%,100%,AB23/AA23),0)</f>
        <v>0.76806722689075635</v>
      </c>
      <c r="AD23" s="20" t="s">
        <v>168</v>
      </c>
      <c r="AE23" s="20" t="s">
        <v>158</v>
      </c>
      <c r="AF23" s="62">
        <f t="shared" si="2"/>
        <v>2205</v>
      </c>
      <c r="AG23" s="94">
        <v>1793</v>
      </c>
      <c r="AH23" s="61">
        <f t="shared" si="7"/>
        <v>0.81315192743764175</v>
      </c>
      <c r="AI23" s="20" t="s">
        <v>169</v>
      </c>
      <c r="AJ23" s="20" t="s">
        <v>170</v>
      </c>
      <c r="AK23" s="27">
        <f t="shared" si="3"/>
        <v>1785</v>
      </c>
      <c r="AL23" s="20"/>
      <c r="AM23" s="20">
        <f t="shared" si="8"/>
        <v>0</v>
      </c>
      <c r="AN23" s="20"/>
      <c r="AO23" s="20"/>
      <c r="AP23" s="62">
        <f t="shared" si="4"/>
        <v>7560</v>
      </c>
      <c r="AQ23" s="88">
        <f t="shared" si="12"/>
        <v>4432</v>
      </c>
      <c r="AR23" s="61">
        <f>IFERROR(IF(AQ23/AP23&gt;100%,100%,AQ23/AP23),0)</f>
        <v>0.58624338624338623</v>
      </c>
      <c r="AS23" s="71" t="s">
        <v>171</v>
      </c>
    </row>
    <row r="24" spans="1:45" s="28" customFormat="1" ht="109.5" customHeight="1">
      <c r="A24" s="55">
        <v>4</v>
      </c>
      <c r="B24" s="56" t="s">
        <v>52</v>
      </c>
      <c r="C24" s="20" t="s">
        <v>144</v>
      </c>
      <c r="D24" s="24" t="s">
        <v>172</v>
      </c>
      <c r="E24" s="20" t="s">
        <v>173</v>
      </c>
      <c r="F24" s="20" t="s">
        <v>56</v>
      </c>
      <c r="G24" s="20" t="s">
        <v>174</v>
      </c>
      <c r="H24" s="20" t="s">
        <v>175</v>
      </c>
      <c r="I24" s="20" t="s">
        <v>149</v>
      </c>
      <c r="J24" s="20" t="s">
        <v>150</v>
      </c>
      <c r="K24" s="20" t="s">
        <v>176</v>
      </c>
      <c r="L24" s="27">
        <v>102</v>
      </c>
      <c r="M24" s="27">
        <v>168</v>
      </c>
      <c r="N24" s="27">
        <v>237</v>
      </c>
      <c r="O24" s="27">
        <v>168</v>
      </c>
      <c r="P24" s="27">
        <f t="shared" si="14"/>
        <v>675</v>
      </c>
      <c r="Q24" s="20" t="s">
        <v>62</v>
      </c>
      <c r="R24" s="20" t="s">
        <v>177</v>
      </c>
      <c r="S24" s="20" t="s">
        <v>178</v>
      </c>
      <c r="T24" s="20" t="s">
        <v>153</v>
      </c>
      <c r="U24" s="20" t="s">
        <v>154</v>
      </c>
      <c r="V24" s="62">
        <f t="shared" si="5"/>
        <v>102</v>
      </c>
      <c r="W24" s="62">
        <v>49</v>
      </c>
      <c r="X24" s="86">
        <f>IFERROR(IF(W24/V24&gt;100%,100%,W24/V24),0)</f>
        <v>0.48039215686274511</v>
      </c>
      <c r="Y24" s="81" t="s">
        <v>179</v>
      </c>
      <c r="Z24" s="59" t="s">
        <v>156</v>
      </c>
      <c r="AA24" s="62">
        <f t="shared" si="1"/>
        <v>168</v>
      </c>
      <c r="AB24" s="94">
        <v>1</v>
      </c>
      <c r="AC24" s="93">
        <f t="shared" ref="AC24" si="16">IFERROR(IF(AB24/AA24&gt;100%,100%,AB24/AA24),0)</f>
        <v>5.9523809523809521E-3</v>
      </c>
      <c r="AD24" s="20" t="s">
        <v>180</v>
      </c>
      <c r="AE24" s="20" t="s">
        <v>158</v>
      </c>
      <c r="AF24" s="62">
        <f t="shared" si="2"/>
        <v>237</v>
      </c>
      <c r="AG24" s="94">
        <v>2</v>
      </c>
      <c r="AH24" s="61">
        <f t="shared" si="7"/>
        <v>8.4388185654008432E-3</v>
      </c>
      <c r="AI24" s="20" t="s">
        <v>181</v>
      </c>
      <c r="AJ24" s="20" t="s">
        <v>182</v>
      </c>
      <c r="AK24" s="27">
        <f t="shared" si="3"/>
        <v>168</v>
      </c>
      <c r="AL24" s="20"/>
      <c r="AM24" s="20">
        <f t="shared" si="8"/>
        <v>0</v>
      </c>
      <c r="AN24" s="20"/>
      <c r="AO24" s="20"/>
      <c r="AP24" s="62">
        <f t="shared" si="4"/>
        <v>675</v>
      </c>
      <c r="AQ24" s="88">
        <f t="shared" si="12"/>
        <v>52</v>
      </c>
      <c r="AR24" s="61">
        <f t="shared" ref="AR24" si="17">IFERROR(IF(AQ24/AP24&gt;100%,100%,AQ24/AP24),0)</f>
        <v>7.7037037037037043E-2</v>
      </c>
      <c r="AS24" s="71" t="s">
        <v>183</v>
      </c>
    </row>
    <row r="25" spans="1:45" s="28" customFormat="1" ht="109.5" customHeight="1">
      <c r="A25" s="55">
        <v>4</v>
      </c>
      <c r="B25" s="56" t="s">
        <v>52</v>
      </c>
      <c r="C25" s="20" t="s">
        <v>144</v>
      </c>
      <c r="D25" s="24" t="s">
        <v>184</v>
      </c>
      <c r="E25" s="20" t="s">
        <v>185</v>
      </c>
      <c r="F25" s="20" t="s">
        <v>56</v>
      </c>
      <c r="G25" s="20" t="s">
        <v>186</v>
      </c>
      <c r="H25" s="20" t="s">
        <v>187</v>
      </c>
      <c r="I25" s="20" t="s">
        <v>149</v>
      </c>
      <c r="J25" s="20" t="s">
        <v>150</v>
      </c>
      <c r="K25" s="20" t="s">
        <v>188</v>
      </c>
      <c r="L25" s="37">
        <v>100</v>
      </c>
      <c r="M25" s="37">
        <v>200</v>
      </c>
      <c r="N25" s="37">
        <v>200</v>
      </c>
      <c r="O25" s="37">
        <v>200</v>
      </c>
      <c r="P25" s="27">
        <f t="shared" si="14"/>
        <v>700</v>
      </c>
      <c r="Q25" s="20" t="s">
        <v>62</v>
      </c>
      <c r="R25" s="20" t="s">
        <v>177</v>
      </c>
      <c r="S25" s="20" t="s">
        <v>178</v>
      </c>
      <c r="T25" s="20" t="s">
        <v>153</v>
      </c>
      <c r="U25" s="20" t="s">
        <v>154</v>
      </c>
      <c r="V25" s="62">
        <f t="shared" si="5"/>
        <v>100</v>
      </c>
      <c r="W25" s="62">
        <v>1</v>
      </c>
      <c r="X25" s="86">
        <f t="shared" ref="X25" si="18">IFERROR(IF(W25/V25&gt;100%,100%,W25/V25),0)</f>
        <v>0.01</v>
      </c>
      <c r="Y25" s="81" t="s">
        <v>189</v>
      </c>
      <c r="Z25" s="59" t="s">
        <v>156</v>
      </c>
      <c r="AA25" s="62">
        <f t="shared" si="1"/>
        <v>200</v>
      </c>
      <c r="AB25" s="94">
        <v>0</v>
      </c>
      <c r="AC25" s="93">
        <f>IFERROR(IF(AB25/AA25&gt;100%,100%,AB25/AA25),0)</f>
        <v>0</v>
      </c>
      <c r="AD25" s="20" t="s">
        <v>190</v>
      </c>
      <c r="AE25" s="20" t="s">
        <v>158</v>
      </c>
      <c r="AF25" s="62">
        <f t="shared" si="2"/>
        <v>200</v>
      </c>
      <c r="AG25" s="94">
        <v>0</v>
      </c>
      <c r="AH25" s="61">
        <f t="shared" si="7"/>
        <v>0</v>
      </c>
      <c r="AI25" s="20" t="s">
        <v>191</v>
      </c>
      <c r="AJ25" s="20" t="s">
        <v>192</v>
      </c>
      <c r="AK25" s="27">
        <f t="shared" si="3"/>
        <v>200</v>
      </c>
      <c r="AL25" s="20"/>
      <c r="AM25" s="20">
        <f t="shared" si="8"/>
        <v>0</v>
      </c>
      <c r="AN25" s="20"/>
      <c r="AO25" s="20"/>
      <c r="AP25" s="62">
        <f t="shared" si="4"/>
        <v>700</v>
      </c>
      <c r="AQ25" s="88">
        <f>IFERROR(W25+AB25+AG25+AL25,0)</f>
        <v>1</v>
      </c>
      <c r="AR25" s="61">
        <f>IFERROR(IF(AQ25/AP25&gt;100%,100%,AQ25/AP25),0)</f>
        <v>1.4285714285714286E-3</v>
      </c>
      <c r="AS25" s="71" t="s">
        <v>193</v>
      </c>
    </row>
    <row r="26" spans="1:45" s="28" customFormat="1" ht="156" customHeight="1">
      <c r="A26" s="55">
        <v>4</v>
      </c>
      <c r="B26" s="56" t="s">
        <v>52</v>
      </c>
      <c r="C26" s="20" t="s">
        <v>144</v>
      </c>
      <c r="D26" s="24" t="s">
        <v>194</v>
      </c>
      <c r="E26" s="20" t="s">
        <v>195</v>
      </c>
      <c r="F26" s="20" t="s">
        <v>56</v>
      </c>
      <c r="G26" s="20" t="s">
        <v>196</v>
      </c>
      <c r="H26" s="20" t="s">
        <v>197</v>
      </c>
      <c r="I26" s="20" t="s">
        <v>149</v>
      </c>
      <c r="J26" s="20" t="s">
        <v>150</v>
      </c>
      <c r="K26" s="20" t="s">
        <v>198</v>
      </c>
      <c r="L26" s="37">
        <v>29</v>
      </c>
      <c r="M26" s="37">
        <v>48</v>
      </c>
      <c r="N26" s="37">
        <v>48</v>
      </c>
      <c r="O26" s="37">
        <v>36</v>
      </c>
      <c r="P26" s="27">
        <f t="shared" si="14"/>
        <v>161</v>
      </c>
      <c r="Q26" s="20" t="s">
        <v>62</v>
      </c>
      <c r="R26" s="20" t="s">
        <v>199</v>
      </c>
      <c r="S26" s="20" t="s">
        <v>200</v>
      </c>
      <c r="T26" s="20" t="s">
        <v>153</v>
      </c>
      <c r="U26" s="20" t="s">
        <v>154</v>
      </c>
      <c r="V26" s="62">
        <f t="shared" si="5"/>
        <v>29</v>
      </c>
      <c r="W26" s="62">
        <v>74</v>
      </c>
      <c r="X26" s="86">
        <f>IFERROR(IF(W26/V26&gt;100%,100%,W26/V26),0)</f>
        <v>1</v>
      </c>
      <c r="Y26" s="59" t="s">
        <v>201</v>
      </c>
      <c r="Z26" s="59" t="s">
        <v>202</v>
      </c>
      <c r="AA26" s="62">
        <f t="shared" si="1"/>
        <v>48</v>
      </c>
      <c r="AB26" s="94">
        <v>188</v>
      </c>
      <c r="AC26" s="93">
        <f>IFERROR(IF(AB26/AA26&gt;100%,100%,AB26/AA26),0)</f>
        <v>1</v>
      </c>
      <c r="AD26" s="20" t="s">
        <v>203</v>
      </c>
      <c r="AE26" s="20" t="s">
        <v>202</v>
      </c>
      <c r="AF26" s="62">
        <f t="shared" si="2"/>
        <v>48</v>
      </c>
      <c r="AG26" s="94">
        <v>218</v>
      </c>
      <c r="AH26" s="61">
        <f t="shared" si="7"/>
        <v>1</v>
      </c>
      <c r="AI26" s="104" t="s">
        <v>204</v>
      </c>
      <c r="AJ26" s="20" t="s">
        <v>202</v>
      </c>
      <c r="AK26" s="27">
        <f t="shared" si="3"/>
        <v>36</v>
      </c>
      <c r="AL26" s="20"/>
      <c r="AM26" s="20">
        <f t="shared" si="8"/>
        <v>0</v>
      </c>
      <c r="AN26" s="20"/>
      <c r="AO26" s="20"/>
      <c r="AP26" s="62">
        <f t="shared" si="4"/>
        <v>161</v>
      </c>
      <c r="AQ26" s="88">
        <f t="shared" si="12"/>
        <v>480</v>
      </c>
      <c r="AR26" s="61">
        <f t="shared" ref="AR26:AR29" si="19">IFERROR(IF(AQ26/AP26&gt;100%,100%,AQ26/AP26),0)</f>
        <v>1</v>
      </c>
      <c r="AS26" s="71" t="s">
        <v>88</v>
      </c>
    </row>
    <row r="27" spans="1:45" s="28" customFormat="1" ht="156" customHeight="1">
      <c r="A27" s="55">
        <v>4</v>
      </c>
      <c r="B27" s="56" t="s">
        <v>52</v>
      </c>
      <c r="C27" s="20" t="s">
        <v>144</v>
      </c>
      <c r="D27" s="24" t="s">
        <v>205</v>
      </c>
      <c r="E27" s="20" t="s">
        <v>206</v>
      </c>
      <c r="F27" s="20" t="s">
        <v>56</v>
      </c>
      <c r="G27" s="20" t="s">
        <v>207</v>
      </c>
      <c r="H27" s="20" t="s">
        <v>208</v>
      </c>
      <c r="I27" s="20" t="s">
        <v>149</v>
      </c>
      <c r="J27" s="20" t="s">
        <v>150</v>
      </c>
      <c r="K27" s="20" t="s">
        <v>198</v>
      </c>
      <c r="L27" s="27">
        <v>72</v>
      </c>
      <c r="M27" s="27">
        <v>117</v>
      </c>
      <c r="N27" s="27">
        <v>117</v>
      </c>
      <c r="O27" s="27">
        <v>87</v>
      </c>
      <c r="P27" s="27">
        <f t="shared" si="14"/>
        <v>393</v>
      </c>
      <c r="Q27" s="20" t="s">
        <v>62</v>
      </c>
      <c r="R27" s="20" t="s">
        <v>209</v>
      </c>
      <c r="S27" s="20" t="s">
        <v>200</v>
      </c>
      <c r="T27" s="20" t="s">
        <v>153</v>
      </c>
      <c r="U27" s="20" t="s">
        <v>154</v>
      </c>
      <c r="V27" s="62">
        <f t="shared" si="5"/>
        <v>72</v>
      </c>
      <c r="W27" s="62">
        <v>66</v>
      </c>
      <c r="X27" s="86">
        <f t="shared" ref="X27" si="20">IFERROR(IF(W27/V27&gt;100%,100%,W27/V27),0)</f>
        <v>0.91666666666666663</v>
      </c>
      <c r="Y27" s="59" t="s">
        <v>210</v>
      </c>
      <c r="Z27" s="59" t="s">
        <v>202</v>
      </c>
      <c r="AA27" s="62">
        <f t="shared" si="1"/>
        <v>117</v>
      </c>
      <c r="AB27" s="94">
        <v>122</v>
      </c>
      <c r="AC27" s="93">
        <f t="shared" ref="AC27" si="21">IFERROR(IF(AB27/AA27&gt;100%,100%,AB27/AA27),0)</f>
        <v>1</v>
      </c>
      <c r="AD27" s="20" t="s">
        <v>211</v>
      </c>
      <c r="AE27" s="20" t="s">
        <v>202</v>
      </c>
      <c r="AF27" s="62">
        <f t="shared" si="2"/>
        <v>117</v>
      </c>
      <c r="AG27" s="94">
        <v>141</v>
      </c>
      <c r="AH27" s="61">
        <f t="shared" si="7"/>
        <v>1</v>
      </c>
      <c r="AI27" s="20" t="s">
        <v>212</v>
      </c>
      <c r="AJ27" s="20" t="s">
        <v>202</v>
      </c>
      <c r="AK27" s="27">
        <f t="shared" si="3"/>
        <v>87</v>
      </c>
      <c r="AL27" s="20"/>
      <c r="AM27" s="20">
        <f t="shared" si="8"/>
        <v>0</v>
      </c>
      <c r="AN27" s="20"/>
      <c r="AO27" s="20"/>
      <c r="AP27" s="62">
        <f t="shared" si="4"/>
        <v>393</v>
      </c>
      <c r="AQ27" s="88">
        <f t="shared" si="12"/>
        <v>329</v>
      </c>
      <c r="AR27" s="61">
        <f t="shared" si="19"/>
        <v>0.83715012722646309</v>
      </c>
      <c r="AS27" s="71" t="s">
        <v>213</v>
      </c>
    </row>
    <row r="28" spans="1:45" s="28" customFormat="1" ht="90" customHeight="1">
      <c r="A28" s="55">
        <v>4</v>
      </c>
      <c r="B28" s="56" t="s">
        <v>52</v>
      </c>
      <c r="C28" s="20" t="s">
        <v>144</v>
      </c>
      <c r="D28" s="24" t="s">
        <v>214</v>
      </c>
      <c r="E28" s="20" t="s">
        <v>215</v>
      </c>
      <c r="F28" s="20" t="s">
        <v>56</v>
      </c>
      <c r="G28" s="20" t="s">
        <v>216</v>
      </c>
      <c r="H28" s="20" t="s">
        <v>217</v>
      </c>
      <c r="I28" s="20" t="s">
        <v>149</v>
      </c>
      <c r="J28" s="20" t="s">
        <v>150</v>
      </c>
      <c r="K28" s="20" t="s">
        <v>198</v>
      </c>
      <c r="L28" s="27">
        <v>2</v>
      </c>
      <c r="M28" s="27">
        <v>3</v>
      </c>
      <c r="N28" s="27">
        <v>3</v>
      </c>
      <c r="O28" s="27">
        <v>3</v>
      </c>
      <c r="P28" s="27">
        <f t="shared" si="14"/>
        <v>11</v>
      </c>
      <c r="Q28" s="20" t="s">
        <v>62</v>
      </c>
      <c r="R28" s="20" t="s">
        <v>218</v>
      </c>
      <c r="S28" s="20" t="s">
        <v>200</v>
      </c>
      <c r="T28" s="20" t="s">
        <v>153</v>
      </c>
      <c r="U28" s="20" t="s">
        <v>154</v>
      </c>
      <c r="V28" s="62">
        <f t="shared" si="5"/>
        <v>2</v>
      </c>
      <c r="W28" s="62">
        <v>5</v>
      </c>
      <c r="X28" s="86">
        <f>IFERROR(IF(W28/V28&gt;100%,100%,W28/V28),0)</f>
        <v>1</v>
      </c>
      <c r="Y28" s="59" t="s">
        <v>219</v>
      </c>
      <c r="Z28" s="59" t="s">
        <v>202</v>
      </c>
      <c r="AA28" s="62">
        <f t="shared" si="1"/>
        <v>3</v>
      </c>
      <c r="AB28" s="94">
        <v>11</v>
      </c>
      <c r="AC28" s="93">
        <f>IFERROR(IF(AB28/AA28&gt;100%,100%,AB28/AA28),0)</f>
        <v>1</v>
      </c>
      <c r="AD28" s="20" t="s">
        <v>220</v>
      </c>
      <c r="AE28" s="20" t="s">
        <v>202</v>
      </c>
      <c r="AF28" s="62">
        <f t="shared" si="2"/>
        <v>3</v>
      </c>
      <c r="AG28" s="94">
        <v>11</v>
      </c>
      <c r="AH28" s="61">
        <f t="shared" si="7"/>
        <v>1</v>
      </c>
      <c r="AI28" s="20" t="s">
        <v>221</v>
      </c>
      <c r="AJ28" s="20" t="s">
        <v>202</v>
      </c>
      <c r="AK28" s="27">
        <f t="shared" si="3"/>
        <v>3</v>
      </c>
      <c r="AL28" s="20"/>
      <c r="AM28" s="20">
        <f t="shared" si="8"/>
        <v>0</v>
      </c>
      <c r="AN28" s="20"/>
      <c r="AO28" s="20"/>
      <c r="AP28" s="62">
        <f t="shared" si="4"/>
        <v>11</v>
      </c>
      <c r="AQ28" s="88">
        <f t="shared" si="12"/>
        <v>27</v>
      </c>
      <c r="AR28" s="61">
        <f t="shared" si="19"/>
        <v>1</v>
      </c>
      <c r="AS28" s="71" t="s">
        <v>88</v>
      </c>
    </row>
    <row r="29" spans="1:45" s="28" customFormat="1" ht="90" customHeight="1">
      <c r="A29" s="55">
        <v>4</v>
      </c>
      <c r="B29" s="56" t="s">
        <v>52</v>
      </c>
      <c r="C29" s="20" t="s">
        <v>144</v>
      </c>
      <c r="D29" s="24" t="s">
        <v>222</v>
      </c>
      <c r="E29" s="20" t="s">
        <v>223</v>
      </c>
      <c r="F29" s="20" t="s">
        <v>56</v>
      </c>
      <c r="G29" s="20" t="s">
        <v>224</v>
      </c>
      <c r="H29" s="20" t="s">
        <v>225</v>
      </c>
      <c r="I29" s="20" t="s">
        <v>149</v>
      </c>
      <c r="J29" s="20" t="s">
        <v>150</v>
      </c>
      <c r="K29" s="20" t="s">
        <v>198</v>
      </c>
      <c r="L29" s="27">
        <v>10</v>
      </c>
      <c r="M29" s="27">
        <v>20</v>
      </c>
      <c r="N29" s="27">
        <v>20</v>
      </c>
      <c r="O29" s="27">
        <v>20</v>
      </c>
      <c r="P29" s="27">
        <f t="shared" si="14"/>
        <v>70</v>
      </c>
      <c r="Q29" s="20" t="s">
        <v>62</v>
      </c>
      <c r="R29" s="20" t="s">
        <v>226</v>
      </c>
      <c r="S29" s="20" t="s">
        <v>200</v>
      </c>
      <c r="T29" s="20" t="s">
        <v>153</v>
      </c>
      <c r="U29" s="20" t="s">
        <v>154</v>
      </c>
      <c r="V29" s="62">
        <f t="shared" si="5"/>
        <v>10</v>
      </c>
      <c r="W29" s="62">
        <v>22</v>
      </c>
      <c r="X29" s="86">
        <f t="shared" ref="X29" si="22">IFERROR(IF(W29/V29&gt;100%,100%,W29/V29),0)</f>
        <v>1</v>
      </c>
      <c r="Y29" s="20" t="s">
        <v>227</v>
      </c>
      <c r="Z29" s="20" t="s">
        <v>202</v>
      </c>
      <c r="AA29" s="62">
        <f t="shared" si="1"/>
        <v>20</v>
      </c>
      <c r="AB29" s="94">
        <v>53</v>
      </c>
      <c r="AC29" s="93">
        <f t="shared" ref="AC29" si="23">IFERROR(IF(AB29/AA29&gt;100%,100%,AB29/AA29),0)</f>
        <v>1</v>
      </c>
      <c r="AD29" s="20" t="s">
        <v>228</v>
      </c>
      <c r="AE29" s="20" t="s">
        <v>202</v>
      </c>
      <c r="AF29" s="62">
        <f t="shared" si="2"/>
        <v>20</v>
      </c>
      <c r="AG29" s="94">
        <v>56</v>
      </c>
      <c r="AH29" s="61">
        <f t="shared" si="7"/>
        <v>1</v>
      </c>
      <c r="AI29" s="20" t="s">
        <v>229</v>
      </c>
      <c r="AJ29" s="20" t="s">
        <v>202</v>
      </c>
      <c r="AK29" s="27">
        <f t="shared" si="3"/>
        <v>20</v>
      </c>
      <c r="AL29" s="20"/>
      <c r="AM29" s="20">
        <f t="shared" si="8"/>
        <v>0</v>
      </c>
      <c r="AN29" s="20"/>
      <c r="AO29" s="20"/>
      <c r="AP29" s="62">
        <f t="shared" si="4"/>
        <v>70</v>
      </c>
      <c r="AQ29" s="89">
        <f t="shared" si="12"/>
        <v>131</v>
      </c>
      <c r="AR29" s="61">
        <f t="shared" si="19"/>
        <v>1</v>
      </c>
      <c r="AS29" s="71" t="s">
        <v>88</v>
      </c>
    </row>
    <row r="30" spans="1:45" s="5" customFormat="1" ht="15.75">
      <c r="A30" s="10"/>
      <c r="B30" s="10"/>
      <c r="C30" s="10"/>
      <c r="D30" s="10"/>
      <c r="E30" s="13" t="s">
        <v>230</v>
      </c>
      <c r="F30" s="10"/>
      <c r="G30" s="10"/>
      <c r="H30" s="10"/>
      <c r="I30" s="10"/>
      <c r="J30" s="10"/>
      <c r="K30" s="10"/>
      <c r="L30" s="15"/>
      <c r="M30" s="15"/>
      <c r="N30" s="15"/>
      <c r="O30" s="15"/>
      <c r="P30" s="15"/>
      <c r="Q30" s="10"/>
      <c r="R30" s="10"/>
      <c r="S30" s="10"/>
      <c r="T30" s="10"/>
      <c r="U30" s="10"/>
      <c r="V30" s="63"/>
      <c r="W30" s="63"/>
      <c r="X30" s="64">
        <f>AVERAGE(X16:X29)*80%</f>
        <v>0.52583444500392929</v>
      </c>
      <c r="Y30" s="63"/>
      <c r="Z30" s="63"/>
      <c r="AA30" s="95"/>
      <c r="AB30" s="95"/>
      <c r="AC30" s="96">
        <f>AVERAGE(AC15:AC29)*80%</f>
        <v>0.61154523819149653</v>
      </c>
      <c r="AD30" s="15"/>
      <c r="AE30" s="15"/>
      <c r="AF30" s="95"/>
      <c r="AG30" s="95"/>
      <c r="AH30" s="96">
        <f>AVERAGE(AH15:AH29)*80%</f>
        <v>0.57877853868052787</v>
      </c>
      <c r="AI30" s="15"/>
      <c r="AJ30" s="15"/>
      <c r="AK30" s="15"/>
      <c r="AL30" s="15"/>
      <c r="AM30" s="15">
        <f>AVERAGE(AM15:AM29)*80%</f>
        <v>0</v>
      </c>
      <c r="AN30" s="10"/>
      <c r="AO30" s="10"/>
      <c r="AP30" s="72"/>
      <c r="AQ30" s="73"/>
      <c r="AR30" s="74">
        <f>AVERAGE(AR15:AR29)*80%</f>
        <v>0.49876744130701783</v>
      </c>
      <c r="AS30" s="75"/>
    </row>
    <row r="31" spans="1:45" s="28" customFormat="1" ht="105" customHeight="1">
      <c r="A31" s="57">
        <v>3</v>
      </c>
      <c r="B31" s="58" t="s">
        <v>73</v>
      </c>
      <c r="C31" s="25" t="s">
        <v>231</v>
      </c>
      <c r="D31" s="32" t="s">
        <v>232</v>
      </c>
      <c r="E31" s="25" t="s">
        <v>233</v>
      </c>
      <c r="F31" s="25" t="s">
        <v>234</v>
      </c>
      <c r="G31" s="25" t="s">
        <v>235</v>
      </c>
      <c r="H31" s="25" t="s">
        <v>236</v>
      </c>
      <c r="I31" s="25" t="s">
        <v>237</v>
      </c>
      <c r="J31" s="38" t="s">
        <v>124</v>
      </c>
      <c r="K31" s="38" t="s">
        <v>238</v>
      </c>
      <c r="L31" s="39" t="s">
        <v>239</v>
      </c>
      <c r="M31" s="40">
        <v>0.8</v>
      </c>
      <c r="N31" s="39" t="s">
        <v>239</v>
      </c>
      <c r="O31" s="40">
        <v>0.8</v>
      </c>
      <c r="P31" s="40">
        <v>0.8</v>
      </c>
      <c r="Q31" s="25" t="s">
        <v>62</v>
      </c>
      <c r="R31" s="25" t="s">
        <v>240</v>
      </c>
      <c r="S31" s="25" t="s">
        <v>241</v>
      </c>
      <c r="T31" s="25" t="s">
        <v>242</v>
      </c>
      <c r="U31" s="25" t="s">
        <v>243</v>
      </c>
      <c r="V31" s="65">
        <v>0</v>
      </c>
      <c r="W31" s="65">
        <v>0</v>
      </c>
      <c r="X31" s="65">
        <f>IFERROR(IF(W31/V31&gt;100%,100%,W31/V31),0)</f>
        <v>0</v>
      </c>
      <c r="Y31" s="65" t="s">
        <v>67</v>
      </c>
      <c r="Z31" s="65" t="s">
        <v>67</v>
      </c>
      <c r="AA31" s="66">
        <f>M31</f>
        <v>0.8</v>
      </c>
      <c r="AB31" s="80">
        <v>0.66</v>
      </c>
      <c r="AC31" s="97">
        <f>IFERROR(IF(AB31/AA31&gt;100%,100%,AB31/AA31),0)</f>
        <v>0.82499999999999996</v>
      </c>
      <c r="AD31" s="25" t="s">
        <v>244</v>
      </c>
      <c r="AE31" s="25" t="s">
        <v>245</v>
      </c>
      <c r="AF31" s="80">
        <v>0</v>
      </c>
      <c r="AG31" s="67">
        <v>0</v>
      </c>
      <c r="AH31" s="99">
        <f>IFERROR(IF(AG31/AF31&gt;100%,100%,AG31/AF31),0)</f>
        <v>0</v>
      </c>
      <c r="AI31" s="25" t="s">
        <v>246</v>
      </c>
      <c r="AJ31" s="25" t="s">
        <v>246</v>
      </c>
      <c r="AK31" s="42">
        <f>O31</f>
        <v>0.8</v>
      </c>
      <c r="AL31" s="25"/>
      <c r="AM31" s="25">
        <f t="shared" ref="AM31:AM37" si="24">IF(AL31/AK31&gt;100%,100%,AL31/AK31)</f>
        <v>0</v>
      </c>
      <c r="AN31" s="25"/>
      <c r="AO31" s="25"/>
      <c r="AP31" s="66">
        <f>P31</f>
        <v>0.8</v>
      </c>
      <c r="AQ31" s="76">
        <f>IFERROR(AVERAGE(AB31,AL31)*0.5,0)</f>
        <v>0.33</v>
      </c>
      <c r="AR31" s="77">
        <f>IFERROR(IF(AQ31/AP31&gt;100%,100%,AQ31/AP31),0)</f>
        <v>0.41249999999999998</v>
      </c>
      <c r="AS31" s="43" t="s">
        <v>247</v>
      </c>
    </row>
    <row r="32" spans="1:45" s="28" customFormat="1" ht="165" customHeight="1">
      <c r="A32" s="57">
        <v>5</v>
      </c>
      <c r="B32" s="58" t="s">
        <v>248</v>
      </c>
      <c r="C32" s="25" t="s">
        <v>249</v>
      </c>
      <c r="D32" s="32" t="s">
        <v>250</v>
      </c>
      <c r="E32" s="43" t="s">
        <v>251</v>
      </c>
      <c r="F32" s="43" t="s">
        <v>234</v>
      </c>
      <c r="G32" s="43" t="s">
        <v>252</v>
      </c>
      <c r="H32" s="43" t="s">
        <v>253</v>
      </c>
      <c r="I32" s="43" t="s">
        <v>254</v>
      </c>
      <c r="J32" s="43" t="s">
        <v>255</v>
      </c>
      <c r="K32" s="43" t="s">
        <v>252</v>
      </c>
      <c r="L32" s="44" t="s">
        <v>246</v>
      </c>
      <c r="M32" s="45">
        <v>1</v>
      </c>
      <c r="N32" s="45">
        <v>1</v>
      </c>
      <c r="O32" s="46">
        <v>1</v>
      </c>
      <c r="P32" s="46">
        <v>1</v>
      </c>
      <c r="Q32" s="43" t="s">
        <v>256</v>
      </c>
      <c r="R32" s="43" t="s">
        <v>257</v>
      </c>
      <c r="S32" s="43" t="s">
        <v>258</v>
      </c>
      <c r="T32" s="47" t="s">
        <v>259</v>
      </c>
      <c r="U32" s="48" t="s">
        <v>260</v>
      </c>
      <c r="V32" s="65">
        <v>0</v>
      </c>
      <c r="W32" s="65">
        <v>0</v>
      </c>
      <c r="X32" s="87">
        <f>IFERROR(IF(W32/V32&gt;100%,100%,W32/V32),0)</f>
        <v>0</v>
      </c>
      <c r="Y32" s="65" t="s">
        <v>67</v>
      </c>
      <c r="Z32" s="65" t="s">
        <v>67</v>
      </c>
      <c r="AA32" s="66">
        <f>M32</f>
        <v>1</v>
      </c>
      <c r="AB32" s="80">
        <v>1</v>
      </c>
      <c r="AC32" s="97">
        <f t="shared" ref="AC32:AC37" si="25">IFERROR(IF(AB32/AA32&gt;100%,100%,AB32/AA32),0)</f>
        <v>1</v>
      </c>
      <c r="AD32" s="25" t="s">
        <v>261</v>
      </c>
      <c r="AE32" s="25"/>
      <c r="AF32" s="66">
        <f>N32</f>
        <v>1</v>
      </c>
      <c r="AG32" s="67">
        <v>1</v>
      </c>
      <c r="AH32" s="99">
        <f t="shared" ref="AH32:AH37" si="26">IFERROR(IF(AG32/AF32&gt;100%,100%,AG32/AF32),0)</f>
        <v>1</v>
      </c>
      <c r="AI32" s="25" t="s">
        <v>262</v>
      </c>
      <c r="AJ32" s="25" t="s">
        <v>263</v>
      </c>
      <c r="AK32" s="42">
        <f>O32</f>
        <v>1</v>
      </c>
      <c r="AL32" s="25"/>
      <c r="AM32" s="25">
        <f t="shared" si="24"/>
        <v>0</v>
      </c>
      <c r="AN32" s="25"/>
      <c r="AO32" s="25"/>
      <c r="AP32" s="66">
        <f>P32</f>
        <v>1</v>
      </c>
      <c r="AQ32" s="78">
        <f>IFERROR(AVERAGE(AB32,AG32,AL32)*0.67,0)</f>
        <v>0.67</v>
      </c>
      <c r="AR32" s="77">
        <f t="shared" ref="AR32:AR37" si="27">IFERROR(IF(AQ32/AP32&gt;100%,100%,AQ32/AP32),0)</f>
        <v>0.67</v>
      </c>
      <c r="AS32" s="43" t="s">
        <v>264</v>
      </c>
    </row>
    <row r="33" spans="1:45" s="28" customFormat="1" ht="105" customHeight="1">
      <c r="A33" s="57">
        <v>3</v>
      </c>
      <c r="B33" s="58" t="s">
        <v>73</v>
      </c>
      <c r="C33" s="25" t="s">
        <v>231</v>
      </c>
      <c r="D33" s="32" t="s">
        <v>265</v>
      </c>
      <c r="E33" s="25" t="s">
        <v>266</v>
      </c>
      <c r="F33" s="25" t="s">
        <v>234</v>
      </c>
      <c r="G33" s="25" t="s">
        <v>267</v>
      </c>
      <c r="H33" s="25" t="s">
        <v>268</v>
      </c>
      <c r="I33" s="32" t="s">
        <v>269</v>
      </c>
      <c r="J33" s="26" t="s">
        <v>150</v>
      </c>
      <c r="K33" s="25" t="s">
        <v>267</v>
      </c>
      <c r="L33" s="49">
        <v>0</v>
      </c>
      <c r="M33" s="49">
        <v>1</v>
      </c>
      <c r="N33" s="49">
        <v>0</v>
      </c>
      <c r="O33" s="49">
        <v>1</v>
      </c>
      <c r="P33" s="49">
        <v>2</v>
      </c>
      <c r="Q33" s="25" t="s">
        <v>62</v>
      </c>
      <c r="R33" s="43" t="s">
        <v>270</v>
      </c>
      <c r="S33" s="43" t="s">
        <v>270</v>
      </c>
      <c r="T33" s="43" t="s">
        <v>242</v>
      </c>
      <c r="U33" s="43" t="s">
        <v>242</v>
      </c>
      <c r="V33" s="65">
        <v>0</v>
      </c>
      <c r="W33" s="65">
        <v>0</v>
      </c>
      <c r="X33" s="87">
        <f t="shared" ref="X33:X36" si="28">IFERROR(IF(W33/V33&gt;100%,100%,W33/V33),0)</f>
        <v>0</v>
      </c>
      <c r="Y33" s="65" t="s">
        <v>67</v>
      </c>
      <c r="Z33" s="65" t="s">
        <v>67</v>
      </c>
      <c r="AA33" s="98">
        <f>M33</f>
        <v>1</v>
      </c>
      <c r="AB33" s="79">
        <v>1</v>
      </c>
      <c r="AC33" s="97">
        <f t="shared" si="25"/>
        <v>1</v>
      </c>
      <c r="AD33" s="25" t="s">
        <v>271</v>
      </c>
      <c r="AE33" s="25" t="s">
        <v>272</v>
      </c>
      <c r="AF33" s="98">
        <f>N33</f>
        <v>0</v>
      </c>
      <c r="AG33" s="105">
        <v>0</v>
      </c>
      <c r="AH33" s="99">
        <f t="shared" si="26"/>
        <v>0</v>
      </c>
      <c r="AI33" s="25" t="s">
        <v>246</v>
      </c>
      <c r="AJ33" s="25" t="s">
        <v>246</v>
      </c>
      <c r="AK33" s="41">
        <f>O33</f>
        <v>1</v>
      </c>
      <c r="AL33" s="25"/>
      <c r="AM33" s="25"/>
      <c r="AN33" s="25"/>
      <c r="AO33" s="25"/>
      <c r="AP33" s="79">
        <f>P33</f>
        <v>2</v>
      </c>
      <c r="AQ33" s="105">
        <f>IFERROR(AB33+AL33,0)</f>
        <v>1</v>
      </c>
      <c r="AR33" s="77">
        <f t="shared" si="27"/>
        <v>0.5</v>
      </c>
      <c r="AS33" s="43" t="s">
        <v>273</v>
      </c>
    </row>
    <row r="34" spans="1:45" s="28" customFormat="1" ht="105" customHeight="1">
      <c r="A34" s="57">
        <v>3</v>
      </c>
      <c r="B34" s="58" t="s">
        <v>73</v>
      </c>
      <c r="C34" s="25" t="s">
        <v>274</v>
      </c>
      <c r="D34" s="32" t="s">
        <v>275</v>
      </c>
      <c r="E34" s="43" t="s">
        <v>276</v>
      </c>
      <c r="F34" s="43" t="s">
        <v>234</v>
      </c>
      <c r="G34" s="43" t="s">
        <v>277</v>
      </c>
      <c r="H34" s="43" t="s">
        <v>278</v>
      </c>
      <c r="I34" s="43" t="s">
        <v>279</v>
      </c>
      <c r="J34" s="43" t="s">
        <v>150</v>
      </c>
      <c r="K34" s="43" t="s">
        <v>280</v>
      </c>
      <c r="L34" s="50">
        <v>1</v>
      </c>
      <c r="M34" s="50">
        <v>0</v>
      </c>
      <c r="N34" s="50">
        <v>0</v>
      </c>
      <c r="O34" s="50">
        <v>0</v>
      </c>
      <c r="P34" s="50">
        <v>1</v>
      </c>
      <c r="Q34" s="43" t="s">
        <v>62</v>
      </c>
      <c r="R34" s="43" t="s">
        <v>281</v>
      </c>
      <c r="S34" s="43" t="s">
        <v>282</v>
      </c>
      <c r="T34" s="43" t="s">
        <v>242</v>
      </c>
      <c r="U34" s="43" t="s">
        <v>283</v>
      </c>
      <c r="V34" s="66">
        <v>1</v>
      </c>
      <c r="W34" s="67">
        <f>12/12</f>
        <v>1</v>
      </c>
      <c r="X34" s="87">
        <f t="shared" si="28"/>
        <v>1</v>
      </c>
      <c r="Y34" s="25" t="s">
        <v>284</v>
      </c>
      <c r="Z34" s="25" t="s">
        <v>285</v>
      </c>
      <c r="AA34" s="80">
        <f>M34</f>
        <v>0</v>
      </c>
      <c r="AB34" s="99">
        <v>0</v>
      </c>
      <c r="AC34" s="97">
        <f t="shared" si="25"/>
        <v>0</v>
      </c>
      <c r="AD34" s="25" t="s">
        <v>286</v>
      </c>
      <c r="AE34" s="25" t="s">
        <v>286</v>
      </c>
      <c r="AF34" s="80">
        <v>0</v>
      </c>
      <c r="AG34" s="67">
        <v>0</v>
      </c>
      <c r="AH34" s="99">
        <f>IFERROR(IF(AG34/AF34&gt;100%,100%,AG34/AF34),0)</f>
        <v>0</v>
      </c>
      <c r="AI34" s="25" t="s">
        <v>246</v>
      </c>
      <c r="AJ34" s="25" t="s">
        <v>246</v>
      </c>
      <c r="AK34" s="41" t="s">
        <v>287</v>
      </c>
      <c r="AL34" s="25"/>
      <c r="AM34" s="25"/>
      <c r="AN34" s="25"/>
      <c r="AO34" s="25"/>
      <c r="AP34" s="80">
        <v>1</v>
      </c>
      <c r="AQ34" s="67">
        <f>IFERROR(W34+AB34+AG34+AL34,0)</f>
        <v>1</v>
      </c>
      <c r="AR34" s="77">
        <f t="shared" si="27"/>
        <v>1</v>
      </c>
      <c r="AS34" s="43" t="s">
        <v>88</v>
      </c>
    </row>
    <row r="35" spans="1:45" s="28" customFormat="1" ht="105" customHeight="1">
      <c r="A35" s="57">
        <v>3</v>
      </c>
      <c r="B35" s="58" t="s">
        <v>73</v>
      </c>
      <c r="C35" s="25" t="s">
        <v>274</v>
      </c>
      <c r="D35" s="32" t="s">
        <v>288</v>
      </c>
      <c r="E35" s="43" t="s">
        <v>289</v>
      </c>
      <c r="F35" s="43" t="s">
        <v>234</v>
      </c>
      <c r="G35" s="43" t="s">
        <v>290</v>
      </c>
      <c r="H35" s="43" t="s">
        <v>291</v>
      </c>
      <c r="I35" s="43" t="s">
        <v>137</v>
      </c>
      <c r="J35" s="43" t="s">
        <v>124</v>
      </c>
      <c r="K35" s="43" t="s">
        <v>290</v>
      </c>
      <c r="L35" s="50">
        <v>1</v>
      </c>
      <c r="M35" s="50">
        <v>1</v>
      </c>
      <c r="N35" s="50">
        <v>1</v>
      </c>
      <c r="O35" s="50">
        <v>1</v>
      </c>
      <c r="P35" s="50">
        <v>1</v>
      </c>
      <c r="Q35" s="43" t="s">
        <v>292</v>
      </c>
      <c r="R35" s="43" t="s">
        <v>293</v>
      </c>
      <c r="S35" s="43" t="s">
        <v>294</v>
      </c>
      <c r="T35" s="43" t="s">
        <v>242</v>
      </c>
      <c r="U35" s="43" t="s">
        <v>283</v>
      </c>
      <c r="V35" s="66">
        <f>L35</f>
        <v>1</v>
      </c>
      <c r="W35" s="67">
        <f>93/93</f>
        <v>1</v>
      </c>
      <c r="X35" s="87">
        <f>IFERROR(IF(W35/V35&gt;100%,100%,W35/V35),0)</f>
        <v>1</v>
      </c>
      <c r="Y35" s="25" t="s">
        <v>295</v>
      </c>
      <c r="Z35" s="25" t="s">
        <v>285</v>
      </c>
      <c r="AA35" s="66">
        <f>M35</f>
        <v>1</v>
      </c>
      <c r="AB35" s="80">
        <v>1</v>
      </c>
      <c r="AC35" s="97">
        <f t="shared" si="25"/>
        <v>1</v>
      </c>
      <c r="AD35" s="25" t="s">
        <v>296</v>
      </c>
      <c r="AE35" s="25" t="s">
        <v>297</v>
      </c>
      <c r="AF35" s="66">
        <f>N35</f>
        <v>1</v>
      </c>
      <c r="AG35" s="67">
        <f>184/195</f>
        <v>0.94358974358974357</v>
      </c>
      <c r="AH35" s="99">
        <f t="shared" si="26"/>
        <v>0.94358974358974357</v>
      </c>
      <c r="AI35" s="25" t="s">
        <v>298</v>
      </c>
      <c r="AJ35" s="25" t="s">
        <v>299</v>
      </c>
      <c r="AK35" s="42">
        <f>O35</f>
        <v>1</v>
      </c>
      <c r="AL35" s="25"/>
      <c r="AM35" s="25">
        <f t="shared" si="24"/>
        <v>0</v>
      </c>
      <c r="AN35" s="25"/>
      <c r="AO35" s="25"/>
      <c r="AP35" s="66">
        <f>P35</f>
        <v>1</v>
      </c>
      <c r="AQ35" s="78">
        <f>IFERROR(AVERAGE(W35,AB35,AG35,AL35)*0.75,0)</f>
        <v>0.73589743589743595</v>
      </c>
      <c r="AR35" s="77">
        <f t="shared" si="27"/>
        <v>0.73589743589743595</v>
      </c>
      <c r="AS35" s="43" t="s">
        <v>300</v>
      </c>
    </row>
    <row r="36" spans="1:45" s="28" customFormat="1" ht="105" customHeight="1">
      <c r="A36" s="57">
        <v>3</v>
      </c>
      <c r="B36" s="58" t="s">
        <v>73</v>
      </c>
      <c r="C36" s="25" t="s">
        <v>301</v>
      </c>
      <c r="D36" s="32" t="s">
        <v>302</v>
      </c>
      <c r="E36" s="25" t="s">
        <v>303</v>
      </c>
      <c r="F36" s="43" t="s">
        <v>234</v>
      </c>
      <c r="G36" s="25" t="s">
        <v>304</v>
      </c>
      <c r="H36" s="25" t="s">
        <v>305</v>
      </c>
      <c r="I36" s="25" t="s">
        <v>306</v>
      </c>
      <c r="J36" s="51" t="s">
        <v>150</v>
      </c>
      <c r="K36" s="25" t="s">
        <v>304</v>
      </c>
      <c r="L36" s="52">
        <v>0</v>
      </c>
      <c r="M36" s="52">
        <v>1</v>
      </c>
      <c r="N36" s="52">
        <v>0</v>
      </c>
      <c r="O36" s="52">
        <v>0</v>
      </c>
      <c r="P36" s="53">
        <v>1</v>
      </c>
      <c r="Q36" s="25" t="s">
        <v>62</v>
      </c>
      <c r="R36" s="25" t="s">
        <v>304</v>
      </c>
      <c r="S36" s="25" t="s">
        <v>307</v>
      </c>
      <c r="T36" s="25" t="s">
        <v>242</v>
      </c>
      <c r="U36" s="25" t="s">
        <v>308</v>
      </c>
      <c r="V36" s="65">
        <f>L36</f>
        <v>0</v>
      </c>
      <c r="W36" s="65">
        <v>0</v>
      </c>
      <c r="X36" s="87">
        <f t="shared" si="28"/>
        <v>0</v>
      </c>
      <c r="Y36" s="65" t="s">
        <v>67</v>
      </c>
      <c r="Z36" s="65" t="s">
        <v>67</v>
      </c>
      <c r="AA36" s="98">
        <f>M36</f>
        <v>1</v>
      </c>
      <c r="AB36" s="79">
        <v>1</v>
      </c>
      <c r="AC36" s="97">
        <f t="shared" si="25"/>
        <v>1</v>
      </c>
      <c r="AD36" s="25" t="s">
        <v>309</v>
      </c>
      <c r="AE36" s="25" t="s">
        <v>310</v>
      </c>
      <c r="AF36" s="98">
        <f>N36</f>
        <v>0</v>
      </c>
      <c r="AG36" s="105">
        <v>0</v>
      </c>
      <c r="AH36" s="99">
        <f>IFERROR(IF(AG36/AF36&gt;100%,100%,AG36/AF36),0)</f>
        <v>0</v>
      </c>
      <c r="AI36" s="25" t="s">
        <v>246</v>
      </c>
      <c r="AJ36" s="25" t="s">
        <v>246</v>
      </c>
      <c r="AK36" s="41">
        <f>O36</f>
        <v>0</v>
      </c>
      <c r="AL36" s="25"/>
      <c r="AM36" s="25" t="e">
        <f t="shared" si="24"/>
        <v>#DIV/0!</v>
      </c>
      <c r="AN36" s="25"/>
      <c r="AO36" s="25"/>
      <c r="AP36" s="79">
        <f>P36</f>
        <v>1</v>
      </c>
      <c r="AQ36" s="106">
        <f>IFERROR(W36+AB36+AG36+AL36,0)</f>
        <v>1</v>
      </c>
      <c r="AR36" s="90">
        <f t="shared" si="27"/>
        <v>1</v>
      </c>
      <c r="AS36" s="91" t="s">
        <v>311</v>
      </c>
    </row>
    <row r="37" spans="1:45" s="28" customFormat="1" ht="120" customHeight="1">
      <c r="A37" s="57">
        <v>3</v>
      </c>
      <c r="B37" s="58" t="s">
        <v>73</v>
      </c>
      <c r="C37" s="25" t="s">
        <v>301</v>
      </c>
      <c r="D37" s="32" t="s">
        <v>312</v>
      </c>
      <c r="E37" s="25" t="s">
        <v>313</v>
      </c>
      <c r="F37" s="43" t="s">
        <v>234</v>
      </c>
      <c r="G37" s="25" t="s">
        <v>314</v>
      </c>
      <c r="H37" s="25" t="s">
        <v>315</v>
      </c>
      <c r="I37" s="25" t="s">
        <v>306</v>
      </c>
      <c r="J37" s="51" t="s">
        <v>150</v>
      </c>
      <c r="K37" s="25" t="s">
        <v>314</v>
      </c>
      <c r="L37" s="53">
        <v>0</v>
      </c>
      <c r="M37" s="53">
        <v>0</v>
      </c>
      <c r="N37" s="53">
        <v>0</v>
      </c>
      <c r="O37" s="53">
        <v>1</v>
      </c>
      <c r="P37" s="53">
        <v>1</v>
      </c>
      <c r="Q37" s="25" t="s">
        <v>62</v>
      </c>
      <c r="R37" s="25" t="s">
        <v>316</v>
      </c>
      <c r="S37" s="25" t="s">
        <v>317</v>
      </c>
      <c r="T37" s="25" t="s">
        <v>242</v>
      </c>
      <c r="U37" s="25" t="s">
        <v>308</v>
      </c>
      <c r="V37" s="65">
        <f>L37</f>
        <v>0</v>
      </c>
      <c r="W37" s="65">
        <v>0</v>
      </c>
      <c r="X37" s="87">
        <f>IFERROR(IF(W37/V37&gt;100%,100%,W37/V37),0)</f>
        <v>0</v>
      </c>
      <c r="Y37" s="65" t="s">
        <v>67</v>
      </c>
      <c r="Z37" s="65" t="s">
        <v>67</v>
      </c>
      <c r="AA37" s="98">
        <f>M37</f>
        <v>0</v>
      </c>
      <c r="AB37" s="99">
        <v>0</v>
      </c>
      <c r="AC37" s="97">
        <f t="shared" si="25"/>
        <v>0</v>
      </c>
      <c r="AD37" s="25" t="s">
        <v>286</v>
      </c>
      <c r="AE37" s="25" t="s">
        <v>286</v>
      </c>
      <c r="AF37" s="98">
        <f>N37</f>
        <v>0</v>
      </c>
      <c r="AG37" s="105">
        <v>0</v>
      </c>
      <c r="AH37" s="99">
        <f t="shared" si="26"/>
        <v>0</v>
      </c>
      <c r="AI37" s="25" t="s">
        <v>246</v>
      </c>
      <c r="AJ37" s="25" t="s">
        <v>246</v>
      </c>
      <c r="AK37" s="41">
        <f>O37</f>
        <v>1</v>
      </c>
      <c r="AL37" s="25"/>
      <c r="AM37" s="25">
        <f t="shared" si="24"/>
        <v>0</v>
      </c>
      <c r="AN37" s="25"/>
      <c r="AO37" s="25"/>
      <c r="AP37" s="79">
        <f>P37</f>
        <v>1</v>
      </c>
      <c r="AQ37" s="105">
        <f>IFERROR(W37+AB37+AG37+AL37,0)</f>
        <v>0</v>
      </c>
      <c r="AR37" s="77">
        <f t="shared" si="27"/>
        <v>0</v>
      </c>
      <c r="AS37" s="43" t="s">
        <v>318</v>
      </c>
    </row>
    <row r="38" spans="1:45" s="5" customFormat="1" ht="15.75" customHeight="1">
      <c r="A38" s="10"/>
      <c r="B38" s="10"/>
      <c r="C38" s="10"/>
      <c r="D38" s="10"/>
      <c r="E38" s="11" t="s">
        <v>319</v>
      </c>
      <c r="F38" s="11"/>
      <c r="G38" s="11"/>
      <c r="H38" s="11"/>
      <c r="I38" s="11"/>
      <c r="J38" s="11"/>
      <c r="K38" s="11"/>
      <c r="L38" s="12"/>
      <c r="M38" s="12"/>
      <c r="N38" s="12"/>
      <c r="O38" s="12"/>
      <c r="P38" s="12"/>
      <c r="Q38" s="11"/>
      <c r="R38" s="10"/>
      <c r="S38" s="10"/>
      <c r="T38" s="10"/>
      <c r="U38" s="10"/>
      <c r="V38" s="12"/>
      <c r="W38" s="12"/>
      <c r="X38" s="68">
        <f>AVERAGE(X34,X35)*20%</f>
        <v>0.2</v>
      </c>
      <c r="Y38" s="10"/>
      <c r="Z38" s="10"/>
      <c r="AA38" s="16"/>
      <c r="AB38" s="16"/>
      <c r="AC38" s="100">
        <f>AVERAGE(AC31,AC32,AC33,AC35,AC36)*20%</f>
        <v>0.19300000000000003</v>
      </c>
      <c r="AD38" s="10"/>
      <c r="AE38" s="10"/>
      <c r="AF38" s="16"/>
      <c r="AG38" s="16"/>
      <c r="AH38" s="100">
        <f>AVERAGE(AG32,AG35)*20%</f>
        <v>0.19435897435897437</v>
      </c>
      <c r="AI38" s="10"/>
      <c r="AJ38" s="10"/>
      <c r="AK38" s="12"/>
      <c r="AL38" s="12"/>
      <c r="AM38" s="14" t="e">
        <f>AVERAGE(AM31:AM37)*20%</f>
        <v>#DIV/0!</v>
      </c>
      <c r="AN38" s="10"/>
      <c r="AO38" s="10"/>
      <c r="AP38" s="16"/>
      <c r="AQ38" s="16"/>
      <c r="AR38" s="68">
        <f>AVERAGE(AR31,AR32,AR33,AR34,AR35,AR36)*20%</f>
        <v>0.14394658119658121</v>
      </c>
      <c r="AS38" s="10"/>
    </row>
    <row r="39" spans="1:45" s="9" customFormat="1" ht="18.75" customHeight="1">
      <c r="A39" s="6"/>
      <c r="B39" s="6"/>
      <c r="C39" s="6"/>
      <c r="D39" s="6"/>
      <c r="E39" s="7" t="s">
        <v>320</v>
      </c>
      <c r="F39" s="6"/>
      <c r="G39" s="6"/>
      <c r="H39" s="6"/>
      <c r="I39" s="6"/>
      <c r="J39" s="6"/>
      <c r="K39" s="6"/>
      <c r="L39" s="8"/>
      <c r="M39" s="8"/>
      <c r="N39" s="8"/>
      <c r="O39" s="8"/>
      <c r="P39" s="8"/>
      <c r="Q39" s="6"/>
      <c r="R39" s="6"/>
      <c r="S39" s="6"/>
      <c r="T39" s="6"/>
      <c r="U39" s="6"/>
      <c r="V39" s="8"/>
      <c r="W39" s="8"/>
      <c r="X39" s="69">
        <f>X30+X38</f>
        <v>0.72583444500392935</v>
      </c>
      <c r="Y39" s="6"/>
      <c r="Z39" s="6"/>
      <c r="AA39" s="17"/>
      <c r="AB39" s="17"/>
      <c r="AC39" s="101">
        <f>AC30+AC38</f>
        <v>0.80454523819149659</v>
      </c>
      <c r="AD39" s="6"/>
      <c r="AE39" s="6"/>
      <c r="AF39" s="17"/>
      <c r="AG39" s="17"/>
      <c r="AH39" s="101">
        <f>AH30+AH38</f>
        <v>0.77313751303950218</v>
      </c>
      <c r="AI39" s="6"/>
      <c r="AJ39" s="6"/>
      <c r="AK39" s="8"/>
      <c r="AL39" s="8"/>
      <c r="AM39" s="18" t="e">
        <f>AM30+AM38</f>
        <v>#DIV/0!</v>
      </c>
      <c r="AN39" s="6"/>
      <c r="AO39" s="6"/>
      <c r="AP39" s="17"/>
      <c r="AQ39" s="17"/>
      <c r="AR39" s="69">
        <f>AR30+AR38</f>
        <v>0.64271402250359899</v>
      </c>
      <c r="AS39" s="6"/>
    </row>
  </sheetData>
  <mergeCells count="20">
    <mergeCell ref="V12:Z13"/>
    <mergeCell ref="AA12:AE13"/>
    <mergeCell ref="AF12:AJ13"/>
    <mergeCell ref="AK12:AO13"/>
    <mergeCell ref="AP12:AS13"/>
    <mergeCell ref="A12:B13"/>
    <mergeCell ref="C12:C14"/>
    <mergeCell ref="A1:K1"/>
    <mergeCell ref="L1:P1"/>
    <mergeCell ref="D12:F13"/>
    <mergeCell ref="G12:Q13"/>
    <mergeCell ref="A2:K2"/>
    <mergeCell ref="H9:K9"/>
    <mergeCell ref="H10:K10"/>
    <mergeCell ref="R12:U13"/>
    <mergeCell ref="F4:K4"/>
    <mergeCell ref="H5:K5"/>
    <mergeCell ref="H6:K6"/>
    <mergeCell ref="H7:K7"/>
    <mergeCell ref="H8:K8"/>
  </mergeCells>
  <phoneticPr fontId="14" type="noConversion"/>
  <dataValidations count="1">
    <dataValidation allowBlank="1" showInputMessage="1" showErrorMessage="1" error="Escriba un texto " promptTitle="Cualquier contenido" sqref="F14 F3:F11"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F12:F13 F1 F38:F1048576 F30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31</v>
      </c>
    </row>
    <row r="2" spans="1:1">
      <c r="A2" t="s">
        <v>56</v>
      </c>
    </row>
    <row r="3" spans="1:1">
      <c r="A3" t="s">
        <v>134</v>
      </c>
    </row>
    <row r="4" spans="1:1">
      <c r="A4" t="s">
        <v>234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9CFC65-4D3B-4912-805B-BCFFCD809841}"/>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2025-10-15T13:20:08Z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