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 ESTRATEGICO SECTORIAL/CONSOLIDADO/III TRIMESTRE/"/>
    </mc:Choice>
  </mc:AlternateContent>
  <xr:revisionPtr revIDLastSave="0" documentId="14_{CDE93AD2-5856-4061-9D9E-21BD9D5761FA}" xr6:coauthVersionLast="47" xr6:coauthVersionMax="47" xr10:uidLastSave="{00000000-0000-0000-0000-000000000000}"/>
  <workbookProtection workbookPassword="E772" lockStructure="1"/>
  <bookViews>
    <workbookView xWindow="-120" yWindow="-120" windowWidth="29040" windowHeight="15840" xr2:uid="{00000000-000D-0000-FFFF-FFFF00000000}"/>
  </bookViews>
  <sheets>
    <sheet name="Hoja1" sheetId="2" r:id="rId1"/>
  </sheets>
  <definedNames>
    <definedName name="_xlnm._FilterDatabase" localSheetId="0" hidden="1">Hoja1!$A$21:$BQ$56</definedName>
    <definedName name="_Hlk77162415" localSheetId="0">#N/A</definedName>
    <definedName name="_Hlk77162500" localSheetId="0">#N/A</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39" i="2" l="1"/>
  <c r="AV26" i="2"/>
  <c r="AX22" i="2"/>
  <c r="AW22" i="2"/>
  <c r="AV55" i="2"/>
  <c r="AV54" i="2"/>
  <c r="AV25" i="2"/>
  <c r="AX29" i="2"/>
  <c r="AV50" i="2"/>
  <c r="AX50" i="2"/>
  <c r="AV45" i="2"/>
  <c r="AX45" i="2"/>
  <c r="AV49" i="2"/>
  <c r="AV48" i="2"/>
  <c r="AX48" i="2"/>
  <c r="AV47" i="2"/>
  <c r="AV46" i="2"/>
  <c r="AX46" i="2"/>
  <c r="AV44" i="2"/>
  <c r="AX44" i="2"/>
  <c r="AV43" i="2"/>
  <c r="AV42" i="2"/>
  <c r="AX42" i="2"/>
  <c r="AA41" i="2"/>
  <c r="AV36" i="2"/>
  <c r="AV31" i="2"/>
  <c r="AV27" i="2"/>
  <c r="AV24" i="2"/>
  <c r="AV23" i="2"/>
  <c r="V53" i="2"/>
  <c r="V35" i="2"/>
  <c r="V34" i="2"/>
  <c r="AX24" i="2"/>
  <c r="AX32" i="2"/>
  <c r="AX55" i="2"/>
  <c r="AX54" i="2"/>
  <c r="AX39" i="2"/>
  <c r="AX26" i="2"/>
  <c r="AX25" i="2"/>
  <c r="AU56" i="2"/>
  <c r="AW56" i="2"/>
  <c r="AX56" i="2"/>
  <c r="AU55" i="2"/>
  <c r="AW55" i="2"/>
  <c r="AU54" i="2"/>
  <c r="AW54" i="2"/>
  <c r="AU53" i="2"/>
  <c r="AW53" i="2"/>
  <c r="AX53" i="2"/>
  <c r="AU52" i="2"/>
  <c r="AW52" i="2"/>
  <c r="AX52" i="2"/>
  <c r="AU50" i="2"/>
  <c r="AU49" i="2"/>
  <c r="AW49" i="2"/>
  <c r="AX49" i="2"/>
  <c r="AU48" i="2"/>
  <c r="AU47" i="2"/>
  <c r="AU46" i="2"/>
  <c r="AU45" i="2"/>
  <c r="AU44" i="2"/>
  <c r="AU43" i="2"/>
  <c r="AU42" i="2"/>
  <c r="AU39" i="2"/>
  <c r="AU38" i="2"/>
  <c r="AW38" i="2"/>
  <c r="AU37" i="2"/>
  <c r="AU36" i="2"/>
  <c r="AU35" i="2"/>
  <c r="AW35" i="2"/>
  <c r="AX35" i="2"/>
  <c r="AU34" i="2"/>
  <c r="AU33" i="2"/>
  <c r="AW33" i="2"/>
  <c r="AX33" i="2"/>
  <c r="AU32" i="2"/>
  <c r="AW32" i="2"/>
  <c r="AU31" i="2"/>
  <c r="AU30" i="2"/>
  <c r="AU29" i="2"/>
  <c r="AW29" i="2"/>
  <c r="AU28" i="2"/>
  <c r="AW28" i="2"/>
  <c r="AX28" i="2"/>
  <c r="AU27" i="2"/>
  <c r="AW27" i="2"/>
  <c r="AX27" i="2"/>
  <c r="AU26" i="2"/>
  <c r="AU25" i="2"/>
  <c r="AU24" i="2"/>
  <c r="AW24" i="2"/>
  <c r="AU23" i="2"/>
  <c r="AW36" i="2"/>
  <c r="AX36" i="2"/>
  <c r="AW50" i="2"/>
  <c r="AW23" i="2"/>
  <c r="AX23" i="2"/>
  <c r="AW48" i="2"/>
  <c r="AW44" i="2"/>
  <c r="AW45" i="2"/>
  <c r="AW42" i="2"/>
  <c r="AW46" i="2"/>
  <c r="AW47" i="2"/>
  <c r="AX47" i="2"/>
  <c r="AW31" i="2"/>
  <c r="AX31" i="2"/>
  <c r="AW43" i="2"/>
  <c r="AX43" i="2"/>
  <c r="AW26" i="2"/>
  <c r="AW25" i="2"/>
  <c r="AQ50" i="2"/>
  <c r="AT42" i="2"/>
  <c r="AN39" i="2"/>
  <c r="AO22" i="2"/>
  <c r="AP55" i="2"/>
  <c r="AO54" i="2"/>
  <c r="AO26" i="2"/>
  <c r="AO52" i="2"/>
  <c r="AP52" i="2"/>
  <c r="AN35" i="2"/>
  <c r="AO35" i="2"/>
  <c r="AP35" i="2"/>
  <c r="AP30" i="2"/>
  <c r="AO47" i="2"/>
  <c r="AP47" i="2"/>
  <c r="AO46" i="2"/>
  <c r="AO45" i="2"/>
  <c r="AO27" i="2"/>
  <c r="AP27" i="2"/>
  <c r="AP23" i="2"/>
  <c r="AO41" i="2"/>
  <c r="AP56" i="2"/>
  <c r="AP25" i="2"/>
  <c r="AP38" i="2"/>
  <c r="AN34" i="2"/>
  <c r="AO34" i="2"/>
  <c r="AP34" i="2"/>
  <c r="AP29" i="2"/>
  <c r="AO33" i="2"/>
  <c r="AP33" i="2"/>
  <c r="AO29" i="2"/>
  <c r="AK42" i="2"/>
  <c r="AL48" i="2"/>
  <c r="N50" i="2"/>
  <c r="AP50" i="2"/>
  <c r="N48" i="2"/>
  <c r="AP48" i="2"/>
  <c r="N46" i="2"/>
  <c r="N45" i="2"/>
  <c r="AP45" i="2"/>
  <c r="N44" i="2"/>
  <c r="N43" i="2"/>
  <c r="AP43" i="2"/>
  <c r="N42" i="2"/>
  <c r="AP42" i="2"/>
  <c r="N41" i="2"/>
  <c r="N31" i="2"/>
  <c r="AP31" i="2"/>
  <c r="N23" i="2"/>
  <c r="AK27" i="2"/>
  <c r="AO36" i="2"/>
  <c r="AP36" i="2"/>
  <c r="AJ53" i="2"/>
  <c r="AN53" i="2"/>
  <c r="AO53" i="2"/>
  <c r="AO32" i="2"/>
  <c r="AP32" i="2"/>
  <c r="AP22" i="2"/>
  <c r="AM22" i="2"/>
  <c r="AL50" i="2"/>
  <c r="AM49" i="2"/>
  <c r="AO49" i="2"/>
  <c r="AP49" i="2"/>
  <c r="AM48" i="2"/>
  <c r="AO48" i="2"/>
  <c r="AM24" i="2"/>
  <c r="AO24" i="2"/>
  <c r="AP24" i="2"/>
  <c r="AM23" i="2"/>
  <c r="AO23" i="2"/>
  <c r="AL46" i="2"/>
  <c r="AL22" i="2"/>
  <c r="AK47" i="2"/>
  <c r="AL45" i="2"/>
  <c r="AL29" i="2"/>
  <c r="AL23" i="2"/>
  <c r="AO43" i="2"/>
  <c r="AP41" i="2"/>
  <c r="AO31" i="2"/>
  <c r="AO55" i="2"/>
  <c r="AP26" i="2"/>
  <c r="AP54" i="2"/>
  <c r="AP53" i="2"/>
  <c r="AP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19" authorId="0" shapeId="0" xr:uid="{00000000-0006-0000-0000-000001000000}">
      <text>
        <r>
          <rPr>
            <sz val="12"/>
            <color indexed="81"/>
            <rFont val="Tahoma"/>
            <family val="2"/>
          </rPr>
          <t>Diligencie el año</t>
        </r>
      </text>
    </comment>
    <comment ref="T19" authorId="0" shapeId="0" xr:uid="{00000000-0006-0000-0000-000002000000}">
      <text>
        <r>
          <rPr>
            <sz val="12"/>
            <color indexed="81"/>
            <rFont val="Tahoma"/>
            <family val="2"/>
          </rPr>
          <t>Diligencie el año</t>
        </r>
      </text>
    </comment>
    <comment ref="Y19" authorId="0" shapeId="0" xr:uid="{00000000-0006-0000-0000-000003000000}">
      <text>
        <r>
          <rPr>
            <sz val="12"/>
            <color indexed="81"/>
            <rFont val="Tahoma"/>
            <family val="2"/>
          </rPr>
          <t>Diligencie el año</t>
        </r>
      </text>
    </comment>
    <comment ref="G20"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0" authorId="0" shapeId="0" xr:uid="{00000000-0006-0000-0000-000005000000}">
      <text>
        <r>
          <rPr>
            <b/>
            <sz val="12"/>
            <color indexed="81"/>
            <rFont val="Tahoma"/>
            <family val="2"/>
          </rPr>
          <t>Diligencie la unidad de medida para interpretar el resultado del indicador.
EJ: 
- Porcentaje
- Actividades
- Días</t>
        </r>
      </text>
    </comment>
    <comment ref="I20" authorId="0" shapeId="0" xr:uid="{00000000-0006-0000-0000-000006000000}">
      <text>
        <r>
          <rPr>
            <sz val="12"/>
            <color indexed="81"/>
            <rFont val="Tahoma"/>
            <family val="2"/>
          </rPr>
          <t>Registre la magnitud esperada de la meta para cada vigencia</t>
        </r>
      </text>
    </comment>
    <comment ref="O21" authorId="0" shapeId="0" xr:uid="{AC25D85C-9763-4884-A458-2BAB8B6F39D3}">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1" authorId="0" shapeId="0" xr:uid="{70E12C30-4C89-41AD-9E47-6D8890A918DA}">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1" authorId="0" shapeId="0" xr:uid="{D981AB3A-F468-4BD2-ABA1-4AAEEFEECE8F}">
      <text>
        <r>
          <rPr>
            <b/>
            <sz val="12"/>
            <color indexed="81"/>
            <rFont val="Tahoma"/>
            <family val="2"/>
          </rPr>
          <t xml:space="preserve">Registe el resultado del indicador, de acuerdo con la formula. 
EJ. 100%
(Que corresponde al porcentaje de ejecución del plan de capacitación)
</t>
        </r>
      </text>
    </comment>
    <comment ref="R21" authorId="0" shapeId="0" xr:uid="{AB455655-D735-4486-9B98-9EE7C2A5D679}">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1" authorId="0" shapeId="0" xr:uid="{DC3B4BB4-0A2D-4CF1-8155-7931D3D7BB74}">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1" authorId="0" shapeId="0" xr:uid="{9BAE16A5-C3E1-4A96-BF85-645203C57BF6}">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1" authorId="0" shapeId="0" xr:uid="{001A8F20-F469-4B4B-90B8-6EF8876424FD}">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1" authorId="0" shapeId="0" xr:uid="{9FDB69DD-E89E-45D6-A08C-163A3B1623CA}">
      <text>
        <r>
          <rPr>
            <b/>
            <sz val="12"/>
            <color indexed="81"/>
            <rFont val="Tahoma"/>
            <family val="2"/>
          </rPr>
          <t xml:space="preserve">Registe el resultado del indicador, de acuerdo con la formula. 
EJ. 100%
(Que corresponde al porcentaje de ejecución del plan de capacitación)
</t>
        </r>
      </text>
    </comment>
    <comment ref="W21" authorId="0" shapeId="0" xr:uid="{A619A99F-CFF1-43FA-9546-BC0F176FCEB8}">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1" authorId="0" shapeId="0" xr:uid="{F1AB3C91-C36F-4851-B955-D6BD555DF85A}">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1"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1"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1"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1"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1"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1"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1"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1"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1"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1"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1"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1"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1"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1"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1" authorId="0" shapeId="0" xr:uid="{00000000-0006-0000-0000-00001F000000}">
      <text>
        <r>
          <rPr>
            <b/>
            <sz val="12"/>
            <color indexed="81"/>
            <rFont val="Tahoma"/>
            <family val="2"/>
          </rPr>
          <t>Registe el total de la magnitud de la meta programada para el año. 
EJ. 1
(estrategia programada)</t>
        </r>
      </text>
    </comment>
    <comment ref="AN21"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1"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1"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1" authorId="0" shapeId="0" xr:uid="{00000000-0006-0000-0000-000023000000}">
      <text>
        <r>
          <rPr>
            <b/>
            <sz val="12"/>
            <color indexed="81"/>
            <rFont val="Tahoma"/>
            <family val="2"/>
          </rPr>
          <t>Registe el total de la magnitud de la meta programada para el año. 
EJ. 1
(estrategia programada)</t>
        </r>
      </text>
    </comment>
    <comment ref="AR21"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1"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1"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1" authorId="0" shapeId="0" xr:uid="{00000000-0006-0000-0000-000027000000}">
      <text>
        <r>
          <rPr>
            <b/>
            <sz val="12"/>
            <color indexed="81"/>
            <rFont val="Tahoma"/>
            <family val="2"/>
          </rPr>
          <t xml:space="preserve">Registe el total de la magnitud de la meta programada para el año. 
</t>
        </r>
      </text>
    </comment>
    <comment ref="AV21" authorId="0" shapeId="0" xr:uid="{00000000-0006-0000-0000-000028000000}">
      <text>
        <r>
          <rPr>
            <b/>
            <sz val="12"/>
            <color indexed="81"/>
            <rFont val="Tahoma"/>
            <family val="2"/>
          </rPr>
          <t xml:space="preserve">Registre el porcentaje de avance acumulado de la vigencia, respecto a lo programado para la vigencia.
</t>
        </r>
      </text>
    </comment>
    <comment ref="AW21" authorId="0" shapeId="0" xr:uid="{00000000-0006-0000-0000-000029000000}">
      <text>
        <r>
          <rPr>
            <b/>
            <sz val="12"/>
            <color indexed="81"/>
            <rFont val="Tahoma"/>
            <family val="2"/>
          </rPr>
          <t xml:space="preserve">Registre el porcentaje de avance acumulado de la vigencia, respecto a lo programado para la vigencia.
</t>
        </r>
      </text>
    </comment>
    <comment ref="AX21"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1" authorId="0" shapeId="0" xr:uid="{00000000-0006-0000-0000-00002B000000}">
      <text>
        <r>
          <rPr>
            <b/>
            <sz val="12"/>
            <color indexed="81"/>
            <rFont val="Tahoma"/>
            <family val="2"/>
          </rPr>
          <t xml:space="preserve">Registe el total de la magnitud de la meta programada para el año. 
</t>
        </r>
      </text>
    </comment>
    <comment ref="AZ21" authorId="0" shapeId="0" xr:uid="{00000000-0006-0000-0000-00002C000000}">
      <text>
        <r>
          <rPr>
            <b/>
            <sz val="12"/>
            <color indexed="81"/>
            <rFont val="Tahoma"/>
            <family val="2"/>
          </rPr>
          <t xml:space="preserve">Registre el porcentaje de avance acumulado de la vigencia, respecto a lo programado para la vigencia.
</t>
        </r>
      </text>
    </comment>
    <comment ref="BA21" authorId="0" shapeId="0" xr:uid="{00000000-0006-0000-0000-00002D000000}">
      <text>
        <r>
          <rPr>
            <b/>
            <sz val="12"/>
            <color indexed="81"/>
            <rFont val="Tahoma"/>
            <family val="2"/>
          </rPr>
          <t xml:space="preserve">Registre el porcentaje de avance acumulado de la vigencia, respecto a lo programado para la vigencia.
</t>
        </r>
      </text>
    </comment>
    <comment ref="BB21"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46"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46" authorId="1" shapeId="0" xr:uid="{00000000-0006-0000-0000-000030000000}">
      <text>
        <r>
          <rPr>
            <b/>
            <sz val="9"/>
            <color indexed="81"/>
            <rFont val="Tahoma"/>
            <family val="2"/>
          </rPr>
          <t>Esperanza Florián:</t>
        </r>
        <r>
          <rPr>
            <sz val="9"/>
            <color indexed="81"/>
            <rFont val="Tahoma"/>
            <family val="2"/>
          </rPr>
          <t xml:space="preserve">
de 77 a 67</t>
        </r>
      </text>
    </comment>
    <comment ref="L46" authorId="1" shapeId="0" xr:uid="{00000000-0006-0000-0000-000031000000}">
      <text>
        <r>
          <rPr>
            <b/>
            <sz val="9"/>
            <color indexed="81"/>
            <rFont val="Tahoma"/>
            <family val="2"/>
          </rPr>
          <t>Esperanza Florián:</t>
        </r>
        <r>
          <rPr>
            <sz val="9"/>
            <color indexed="81"/>
            <rFont val="Tahoma"/>
            <family val="2"/>
          </rPr>
          <t xml:space="preserve">
de 30 a 50</t>
        </r>
      </text>
    </comment>
    <comment ref="M46" authorId="1" shapeId="0" xr:uid="{00000000-0006-0000-0000-000032000000}">
      <text>
        <r>
          <rPr>
            <b/>
            <sz val="9"/>
            <color indexed="81"/>
            <rFont val="Tahoma"/>
            <family val="2"/>
          </rPr>
          <t>Esperanza Florián:</t>
        </r>
        <r>
          <rPr>
            <sz val="9"/>
            <color indexed="81"/>
            <rFont val="Tahoma"/>
            <family val="2"/>
          </rPr>
          <t xml:space="preserve">
de 52 a 12</t>
        </r>
      </text>
    </comment>
  </commentList>
</comments>
</file>

<file path=xl/sharedStrings.xml><?xml version="1.0" encoding="utf-8"?>
<sst xmlns="http://schemas.openxmlformats.org/spreadsheetml/2006/main" count="664" uniqueCount="392">
  <si>
    <t xml:space="preserve">SEGUIMIENTO PLAN ESTRATÉGICO SECTORIAL </t>
  </si>
  <si>
    <t>Código</t>
  </si>
  <si>
    <t>PLE-PGS-F001</t>
  </si>
  <si>
    <t>Versión</t>
  </si>
  <si>
    <t>Vigencia</t>
  </si>
  <si>
    <t>9 de marzo de 2021</t>
  </si>
  <si>
    <t>Caso HOLA:</t>
  </si>
  <si>
    <t xml:space="preserve">PLAN ESTRATÉGICO SECTORIAL </t>
  </si>
  <si>
    <t>2020-2024</t>
  </si>
  <si>
    <t>Ejecución de metas con corte a</t>
  </si>
  <si>
    <t>Creciente</t>
  </si>
  <si>
    <t>CONTROL DE CAMBIOS</t>
  </si>
  <si>
    <t>Constante</t>
  </si>
  <si>
    <t>VERSIÓN</t>
  </si>
  <si>
    <t>FECHA</t>
  </si>
  <si>
    <t>DESCRIPCIÓN DE LA MODIFICACIÓN</t>
  </si>
  <si>
    <t>Suma</t>
  </si>
  <si>
    <t xml:space="preserve">PROGRAMACIÓN PLAN ESTRATÉGICO SECTORIAL </t>
  </si>
  <si>
    <t xml:space="preserve">SEGUIMIENTO ACUMULADO </t>
  </si>
  <si>
    <t>Objetivo Estratégico</t>
  </si>
  <si>
    <t>No. Meta</t>
  </si>
  <si>
    <t>Meta Cuatrienio</t>
  </si>
  <si>
    <t>Dependencia Responsable del reportar</t>
  </si>
  <si>
    <t>Indicador</t>
  </si>
  <si>
    <t>Fórmula de indicador</t>
  </si>
  <si>
    <t xml:space="preserve">Tipo de programación </t>
  </si>
  <si>
    <t>Unidad de medida</t>
  </si>
  <si>
    <t>PROGRAMACIÓN DE LA META</t>
  </si>
  <si>
    <t>VIGENCIA 2020</t>
  </si>
  <si>
    <t>VIGENCIA 2021</t>
  </si>
  <si>
    <t>VIGENCIA 2022</t>
  </si>
  <si>
    <t>VIGENCIA 2023</t>
  </si>
  <si>
    <t>VIGENCIA 2024</t>
  </si>
  <si>
    <t>AÑO 2020</t>
  </si>
  <si>
    <t>AÑO 2021</t>
  </si>
  <si>
    <t>AÑO 2022</t>
  </si>
  <si>
    <t>AÑO 2023</t>
  </si>
  <si>
    <t>AÑO 2024</t>
  </si>
  <si>
    <t>TOTAL PROGRAMACIÓN  2020-2024</t>
  </si>
  <si>
    <t>Resultado del Numerador</t>
  </si>
  <si>
    <t xml:space="preserve">Resultado del Denominador </t>
  </si>
  <si>
    <t xml:space="preserve">Resultado Indicador </t>
  </si>
  <si>
    <t>Descripción del avance de la meta</t>
  </si>
  <si>
    <t>Reporte de la evidencia</t>
  </si>
  <si>
    <t xml:space="preserve">Programado </t>
  </si>
  <si>
    <t>Ejecutado</t>
  </si>
  <si>
    <t>% avance 
vigencia 2020</t>
  </si>
  <si>
    <t>% avance 
2020-2024</t>
  </si>
  <si>
    <t>% avance 
vigencia 2021</t>
  </si>
  <si>
    <t>% avance 
vigencia 2022</t>
  </si>
  <si>
    <t>% avance 
vigencia 2023</t>
  </si>
  <si>
    <t>% avance 
vigencia 2024</t>
  </si>
  <si>
    <t>Aumentar diez (10) puntos porcentuales en el Índice de Gestión Local</t>
  </si>
  <si>
    <t>SDG - Subsecretaría de Gestión Local</t>
  </si>
  <si>
    <t>10  puntos porcentuales en el Índice de Gestión Local</t>
  </si>
  <si>
    <t>Valor del índice gestión pública local IGPL %</t>
  </si>
  <si>
    <t>Porcentaje</t>
  </si>
  <si>
    <t xml:space="preserve">62,63%
Dcto IGPL 2022 (línea base 2020)
</t>
  </si>
  <si>
    <t xml:space="preserve">81,13%
(meta establecida con el anterior IGPL, modificada para 2022-2024)
</t>
  </si>
  <si>
    <t>72,63%
(proyectada a 30 de sept., de acuerdo coa la línea base ajustada en el 2022)</t>
  </si>
  <si>
    <t xml:space="preserve">10%
(equivale a 72,63% de acuerdo con el nuevo IGPL)
</t>
  </si>
  <si>
    <t>N/A</t>
  </si>
  <si>
    <t>Implementar una estrategia comunicativa que promueva valores y capacidades democráticas.</t>
  </si>
  <si>
    <t>IDPAC - Subdirección de Promoción</t>
  </si>
  <si>
    <t>Estrategias comunicativas implementadas.</t>
  </si>
  <si>
    <t>Número de estrategias comunicativas implementadas.</t>
  </si>
  <si>
    <t>Estrategia</t>
  </si>
  <si>
    <t>Asesorar 20 Alcaldías Locales en el diseño e implementación de los procesos de planeación y presupuesto participativo.</t>
  </si>
  <si>
    <t>Alcaldías Locales asesoradas en el diseño e implementación de los procesos de planeación y presupuesto participativo.</t>
  </si>
  <si>
    <t>Número de alcaldías Locales asesoradas en el diseño e implementación de los procesos de planeación y presupuesto participativo.</t>
  </si>
  <si>
    <t>Alcaldías locales</t>
  </si>
  <si>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</si>
  <si>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</si>
  <si>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</si>
  <si>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Observatorio de conflictividad implementado
Nota: se reporta según Hoja de vida indicadores proyectos de inversión y plan de desarrollo  (indicador 342)</t>
  </si>
  <si>
    <t>Observatorio</t>
  </si>
  <si>
    <t>Implementar un (1) Laboratorio de Innovación Social sobre Gobernabilidad Social, Derechos Humanos y Participación Ciudadana.</t>
  </si>
  <si>
    <t>SDG - Subsecretaría para la Gobernabilidad y la Garantía de Derechos</t>
  </si>
  <si>
    <t>Laboratorio de innovación implementado.</t>
  </si>
  <si>
    <t>Laboratorio de innovación social</t>
  </si>
  <si>
    <t>IDPAC - Gerencia de Escuela</t>
  </si>
  <si>
    <t>Porcentaje de laboratorio de innovación implementado.</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</si>
  <si>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</si>
  <si>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</si>
  <si>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</si>
  <si>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Número de documentos de investigación elaborados y publicados/número de documentos de investigación programados</t>
  </si>
  <si>
    <t>Documentos elaborados</t>
  </si>
  <si>
    <t>Meta no programada</t>
  </si>
  <si>
    <t>Meta no programada para la vigencia 2020</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</si>
  <si>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</si>
  <si>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</si>
  <si>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</si>
  <si>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Publicaciones realizadas</t>
  </si>
  <si>
    <t>Publicaciones</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</si>
  <si>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</si>
  <si>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</si>
  <si>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</si>
  <si>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Documento de Caracterización actualizado y publicado / Documento de Caracterización programado para actualizar y programar</t>
  </si>
  <si>
    <t>Matriz</t>
  </si>
  <si>
    <t>Consolidar un observatorio para el análisis y divulgación de información sobre participación ciudadana.</t>
  </si>
  <si>
    <t>IDPAC - Subdirección de Fortalecimiento</t>
  </si>
  <si>
    <t>Observatorio consolidado.</t>
  </si>
  <si>
    <t>Nivel de implementación del observatorio consolidado.</t>
  </si>
  <si>
    <t>Implementar la Política Pública de Transparencia y no Tolerancia con la Corrupción - PPTINTC.</t>
  </si>
  <si>
    <t>SDG - Subsecretaría de Gestión Institucional</t>
  </si>
  <si>
    <t>Porcentaje de implementación de la PPTINTC.</t>
  </si>
  <si>
    <t>(Sumatoria de productos ejecutados / Sumatoria de productos programados) x 100</t>
  </si>
  <si>
    <t>Política pública</t>
  </si>
  <si>
    <t>Formular y realizar seguimiento a una estrategia de Tecnología e Información - TI para mejorar la transparencia en los procesos de gestión pública en el sector.</t>
  </si>
  <si>
    <t>SDG - Dirección de Tecnologías e Información</t>
  </si>
  <si>
    <t>Una estrategia de Tecnología de Información - TI formulada y con seguimiento</t>
  </si>
  <si>
    <t>(Actividades ejecutadas / Actividades programadas)</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</si>
  <si>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</si>
  <si>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</si>
  <si>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Número de publicaciones realizas en plataformas abiertas del distrito gestionada por el Observatorio/ Número de publicaciones programadas x 100</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</si>
  <si>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</si>
  <si>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</si>
  <si>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</si>
  <si>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(Hitos cumplidos del componente tecnológico a implementar en la vigencia/Hitos programados del componente tecnológico programado para la vigencia) *100</t>
  </si>
  <si>
    <t>Lograr la interoperabilidad del 100% de las herramientas tecnológicas de empoderamiento social promovidas por el IDPAC.</t>
  </si>
  <si>
    <t>IDPAC - Secretaría General</t>
  </si>
  <si>
    <t>Herramientas tecnológicas de empoderamiento social promovidas</t>
  </si>
  <si>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</si>
  <si>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</si>
  <si>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</si>
  <si>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Índice de transparencia Bogotá – ITB, obtenido por el DADEP</t>
  </si>
  <si>
    <t>Entidades</t>
  </si>
  <si>
    <t>Lograr que las 3 entidades del sector gobierno obtengan como mínimo 90 puntos en el Índice de Desempeño Institucional.</t>
  </si>
  <si>
    <t>Número de entidades del sector con 90 puntos en el Índice de Desempeño Institucional</t>
  </si>
  <si>
    <t>Índice de desempeño institucional obtenido por el DADEP</t>
  </si>
  <si>
    <t>Implementar una estrategia democracia y participación digital como parte integral de Gobierno Abierto Bogotá GABO.</t>
  </si>
  <si>
    <t>Plataforma de Democracia Digital diseñada, desarrollada e implementada</t>
  </si>
  <si>
    <t>Reformular la Política Pública de Participación Incidente.</t>
  </si>
  <si>
    <t>Política pública de participación incidente formulada en el marco de la metodología CONPES-D</t>
  </si>
  <si>
    <t>Porcentaje de reformulación de la Política pública de participación incidente en el marco de la metodología CONPES-DC</t>
  </si>
  <si>
    <t>Política pública de participación incidente reformulada en el marco de la metodología CONPES-DC</t>
  </si>
  <si>
    <t>Nivel de reformulación de la Política pública de participación incidente en el marco de la metodología CONPES-DC</t>
  </si>
  <si>
    <t>Formar 100.000 ciudadanos en capacidades democráticas para la organización y la participación.</t>
  </si>
  <si>
    <t>Ciudadanos formados en capacidades democráticas.</t>
  </si>
  <si>
    <t>Número de ciudadanos formados en capacidades democráticas.</t>
  </si>
  <si>
    <t>Ciudadanos</t>
  </si>
  <si>
    <t>Implementar acciones de fortalecimiento en capacidades organizativas y democráticas de 42 instancias étnicas.</t>
  </si>
  <si>
    <r>
      <rPr>
        <sz val="12"/>
        <rFont val="Calibri"/>
        <family val="2"/>
      </rPr>
      <t>Numero de acciones de fortalecimiento a instancias étnicas implementadas.</t>
    </r>
  </si>
  <si>
    <t>Número acciones de fortalecimiento a instancias étnicas implementadas</t>
  </si>
  <si>
    <t>Realizar 80 acciones de fortalecimiento de los Consejos Locales y Distrital de Juventud.</t>
  </si>
  <si>
    <t>Acciones de fortalecimiento de los Consejos Locales y Distrital de Juventud realizadas.</t>
  </si>
  <si>
    <t>Número de acciones de fortalecimiento de los Consejos Locales y Distrital de Juventud realizadas.</t>
  </si>
  <si>
    <t>Acciones</t>
  </si>
  <si>
    <t>Acciones de fortalecimiento de los medios comunitarios de comunicación alternativa implementados.</t>
  </si>
  <si>
    <t>Número de acciones de fortalecimiento de los medios comunitarios de comunicación alternativa implementados.</t>
  </si>
  <si>
    <t>Implementar iniciativas ciudadanas juveniles para potenciar liderazgos sociales, causas ciudadanas e innovación social.</t>
  </si>
  <si>
    <t>Iniciativas juveniles implementadas.</t>
  </si>
  <si>
    <t>Número de iniciativas juveniles implementadas.</t>
  </si>
  <si>
    <t>Iniciativas ciudadanas juveniles</t>
  </si>
  <si>
    <t>Implementar una (1) estrategia para fortalecer a las organizaciones sociales, comunitarias, de propiedad horizontal y comunales, y las instancias de participación.</t>
  </si>
  <si>
    <t>IDPAC - Subdirección de Fortalecimiento y Subdirección de Asuntos Comunales</t>
  </si>
  <si>
    <t>Estrategias para fortalecer a las organizaciones sociales, comunitarias, de propiedad horizontal y comunales, y las instancias de participación implementadas.</t>
  </si>
  <si>
    <t>Número de organizaciones sociales, comunitarias, de propiedad horizontal y comunales, y las instancias de participación fortalecidas / Número de organizaciones priorizadas</t>
  </si>
  <si>
    <t>Obras con saldo pedagógico para la participación y el cuidado realizadas.</t>
  </si>
  <si>
    <t>Número de obras con saldo pedagógico para la participación y el cuidado realizadas.</t>
  </si>
  <si>
    <t>Obras</t>
  </si>
  <si>
    <t>Implementar una estrategia de acciones diversas para la participación ciudadana.</t>
  </si>
  <si>
    <t>Estrategia de acciones diversas para la participación ciudadana implementadas.</t>
  </si>
  <si>
    <t>Implementar 58 procesos de mediación de conflictos en el marco de la estrategia de acciones diversas para la promoción de la participación</t>
  </si>
  <si>
    <t>Procesos de mediación de conflictos con participación ciudadana gestionados e implementados</t>
  </si>
  <si>
    <t>Número de acuerdos de convivencia y legitimidad desarrollados.</t>
  </si>
  <si>
    <t>Acuerdos</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</si>
  <si>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</si>
  <si>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</si>
  <si>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t>Meta no programada para la vigencia 2021</t>
  </si>
  <si>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</si>
  <si>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</si>
  <si>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</si>
  <si>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1 estrategia diseñada e implementada</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</si>
  <si>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</si>
  <si>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</si>
  <si>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</si>
  <si>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Número de acciones implementadas/ Número de acciones programadas x 100</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</si>
  <si>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</si>
  <si>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</si>
  <si>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</si>
  <si>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Política Pública de Lucha contra la trata de personas formulada e implementada en el marco de la metodología CONPES-D</t>
  </si>
  <si>
    <t>Formular lineamientos para fortalecer la articulación entre las entidades del sector gobierno.</t>
  </si>
  <si>
    <t>SDG – Oficina Asesora de Planeación</t>
  </si>
  <si>
    <t>Un documento de lineamientos de articulación sectorial formulado.</t>
  </si>
  <si>
    <t>Lineamientos</t>
  </si>
  <si>
    <t>EJECUCIÓN I TRIMESTRE VIGENCIA 2023</t>
  </si>
  <si>
    <t>EJECUCIÓN II TRIMESTRE VIGENCIA 2023</t>
  </si>
  <si>
    <t>EJECUCIÓN III TRIMESTRE VIGENCIA 2023</t>
  </si>
  <si>
    <t>EJECUCIÓN IV TRIMESTRE VIGENCIA 2023</t>
  </si>
  <si>
    <t xml:space="preserve">Se formaron 3.539 ciudadanos en 52 procesos de formación, 16 en modalidad presencial y 34 en modalidad virtual y 2 en modalidad virtual asistida, los cuales se encuentran programados de acuerdo al plan de formación de la Escuela de la Participación. Dentro de la programación de la Escuela se encuentran cursos como "Cuidado y Protección Animal", "Fútbol y Transformación Social" o "Mujer y Movimiento Social". Se destaca que del total de los ciudadanos formados en el periodo, el 51% corresponde al grupo de mujeres con edades entre los 18 y 27 años. </t>
  </si>
  <si>
    <t>Se implementó un 6% del modelo de fortalecimiento a instancias étnicas. Se realizaron 3 caracterizaciones, 6 planes de fortalecimiento, 1 asistencia técnica y 1 proceso de formación. Se efectuó la convocatoria para 11° y 12° versión de los Premios Benkos Biohó 2022 y 2023. Los galardonados y galardonadas serán reconocidos por su aporte al ámbito social, económico, político, cultural, artístico y educativo en favor de las comunidades Negras y Afrocolombianas de Bogotá.</t>
  </si>
  <si>
    <t>En cuanto a la implementación de la estrategia de articulación territorial como principal impacto en el primer trimestre de la vigencia se destaca la concertación para la formulación de los planes de articulación territorial, definiendo las actividades de acompañamiento, asesoría, asistencia técnica a desarrollar. Se realizó gestión en las localidades mediante la implementación de diversas acciones que permitieron dinamizar temas como: presupuestos participativos, presentación de informes de gestión del indicador concertado con los observatorios ciudadanos locales de la Veeduría Distrital y la presentación del portafolio de servicios de la entidad orientando a más de 400 personas.En el marco de la estrategia innovadora, se avanzó en la formulación de los planes de trabajo de la estrategia de nuevos sujetos y espacios no convencionales de la participación identificados en las localidades priorizadas. Así mismo, se destaca la Casa de las experiencias al vincular niñas y niños de la ciudad en la construcción de las unidades de planeamiento local, en este tema hubo ideas y propuestas que son un insumo importante para el desarrollo social inclusivo.</t>
  </si>
  <si>
    <t>Se firmaron dos pactos denominados Unidos por un  Territorio Libre de Residuos San Felipe (Barrios Unidos) y Niños y Niñas (Distrital). De acuerdo a la metodología, con un avance del 80%, en la fase de "Cocreación", se encuentran 2 pactos. Con un avance del  50%, en fase de "Conocer y Comprender", se encuentran 6 pactos. Adicionalmente, se encuentran otros 3 pactos en fase de "Exploración" y concertación, lo anterior para abordar las diferentes problemáticas locales, interlocales y regionales. Paralelamente, se realiza el seguimiento a las mesas de pactos concretados en vigencias anteriores. beneficiado a 12 1ocalidades, 227 barrios, 42 UPZ, 230 organizaciones comunitarias y  una población de 4.944 personas que a través del seguimiento a 1009 compromisos en temáticas ambientales, de movilidad, de ocupación del espacio público, de infraestructura, construcción de tejido social y poblacional.</t>
  </si>
  <si>
    <t xml:space="preserve"> -Informe Publicaciones Transparencia
- Consolidado Número de Impactos y Seguidores 2023
- Control de Piezas Audiovisuales 2023
- Cronograma Actividades OAC-IDPAC 2020-2024
- Monitoreo de Medios OAC 2023
- Publicaciones Transparencia - GLPI
- Reporte DC Radio</t>
  </si>
  <si>
    <t xml:space="preserve"> -Taller metodológico ERU
-Caja de herramientas - Actividades Marzo
-DEMOCRACY FEST logo
-Election Party - Manuela Beltran
-Informe final _ Empresa de Renovación Urbana
-presentación CORREDOR VERDE
-Epica - Democracy Fest 24.03.23</t>
  </si>
  <si>
    <t xml:space="preserve"> -Indicador Observatorio Implementado Marzo_2023
-Observatorio_febrero</t>
  </si>
  <si>
    <t xml:space="preserve"> -Asistencia Capacitación Mesa de Ayuda - Gestión Tecnologías de la Información
-glpi marzo 2023 Soporte Orfeo
-IDPAC-AM-PT-02  PETI 2023 BORRADOR</t>
  </si>
  <si>
    <t xml:space="preserve"> -Reporte. Procesos de formacion enero - marzo 2023</t>
  </si>
  <si>
    <t xml:space="preserve"> -Premios Benkos Biohó
-Términos de referencia Benkos Biohó 2022 - 2023 
-Planes de Fortalecimiento
-Caracterizaciones
-Formación</t>
  </si>
  <si>
    <t xml:space="preserve"> -Asistetencias Técnicas
-Acta sesión extraordinaria CLJ BOSA
-Plan de Fortalecimiento consejo de juventud Usaquen
-ACTA_ CLJ Puente Aranda</t>
  </si>
  <si>
    <t xml:space="preserve"> -Hoja de Vida Indicador PDD - Fortalecimiento de Medios Comunitarios</t>
  </si>
  <si>
    <t xml:space="preserve"> -Cronograma y anexos con la convocatoria 2023
- Kit Elementos tecnológicos
-Términos de referencia Jóvenes con Iniciativas</t>
  </si>
  <si>
    <t xml:space="preserve"> - Acciones de Fortalecimiento a instancias
- incentivos ETB y JC
- Indicador Propiedad Horizontal - 7685
- Hoja de Vida Indicador PDD - Fortalecimiento de Medios Comunitarios
</t>
  </si>
  <si>
    <t xml:space="preserve"> -Soportes Difusión OSP
-Seguimientos OSP
-Protocolos entrega 36 OSP a la comunidad
-Protocolo de entrega OSP x M SOMOS UNO
-Protocolo de entrega OSP x Convenio JAC La Veracruz - Santafé
-requisitos para la presentacion de propuestas convocatoria osp
-metodologia obras con saldo pedagogico
- Informe de Interventoria No. La Veracruz
- Informe ejecutivo Final OSP misional SOMOS UNO</t>
  </si>
  <si>
    <t xml:space="preserve"> - Plan de trabajo Bibliotecas Comunitarias
- Plan de trabajo Tenderos.
- Informe de Divulgación de espacios de participación 
- Base Población beneficiada
-Actas y actividades de promoción con niñas y niños
- Actas de reunión y ayudas de memoria</t>
  </si>
  <si>
    <t xml:space="preserve"> - Informes Pactos Firmados
-Matriz hitos Pactando
- Pactos cerrados
- Pactos en Construcción
- Pactos Firmados</t>
  </si>
  <si>
    <t>Realizar 335 obras con saldo pedagógico para la participación y el cuidado.</t>
  </si>
  <si>
    <t>Se avanzó en un 6,27% de la implementación de la estrategia de comunicaciones, mediante 112 actividades relacionadas con la emisión de programas de DCTV y DCRADIO, se diseñaron y publicaron 270 piezas gráficas y audiovisuales, se realizaron 27 notas web, 367 publicaciones en redes sociales, y 13 programas de DC Noticias.</t>
  </si>
  <si>
    <t>En el marco de la estrategia de acompañamiento, se actualizó el documento metodológico de la estrategia de asesoría y acompañamiento a Alcaldías Locales y Entidades del Distrito en los procesos de planeación y presupuestos participativos. Así mismo, se realizó una asesoría técnica con las entidades del Distrito en la CIP, en temas de planeación participativa y/o presupuestos participativos. Se realizó una (1) asistencia técnica a entidades del distrito en temas de planeación participativa y/o presupuestos participativos, en el marco de la sesión ordinaria del mes de marzo de la Comisión Intersectorial de Participación en el Distrito Capital. Así mismo, se avanzó en el plan de trabajo para el acompañamiento a cada una de las alcaldías locales.</t>
  </si>
  <si>
    <t xml:space="preserve"> -Estrategias Alcaldías
- Encuesta Ciudadana
- Encuesta CLIP
- Actas de reunión</t>
  </si>
  <si>
    <t>Se implementó la Caja de Herramientas de Particilab en 214 colegios del distrito, beneficiando a 1.424 personas con 256 cajas. Se desarrollaron actividades de promoción de la participación a través de un acompañamiento con la metodología por audiencias a la Empresa de Renovación Urbana en el Corredor Verde. Así mismo, para llevar a cabo el Democracy Fest 2023 se realizaron reuniones para selección del logo del evento y actividades a incluir en el mismo.</t>
  </si>
  <si>
    <t>Se destacan como principales avances:  la depuración de la base de datos del inventario de instancias de participación; la primera versión del informe de seguimiento a las metas de proyecto de inversión a corte de diciembre de 2022; el repositorio digital que incluye bases de datos bibliográficas,; archivo de medios de comunicación sobre protestas en Bogotá, documentos, decretos y políticas sobre participación en el distrito; el primer borrador del balance de programas y políticas de fútbol y participación. Así mismo, se actualizaron los mapas del inventario de instancias de participación.</t>
  </si>
  <si>
    <t>Se avanzó en la implementación de un 6% de la estrategia mediante la presentación del borrador de la actualización del Plan Estratégico de Tecnologías de la Información y las Comunicaciones - PETI - de la entidad, el cual se encuentra actualmente en revisión. Con relación al soporte técnico y funcional a las herramientas tecnológicas de la Entidad, se realizaron 34 soportes por medio de la mesa de ayuda. Así mismo, se reporta la realización de la capacitación correspondiente a la Mesa de Ayuda IDPAC, con una asistencia de 80 personas el día 7 de marzo. En el mes de febrero se realizó la invitación pública al proceso de selección de mínima cuantía No. IP-MC-IDPAC-002-2023, cuyo objeto es: “adquisición de certificados de firma digital requeridos por el IDPAC, para el adecuado cumplimiento de los parámetros de integración y seguridad de la información en la gestión administrativa” en la plataforma SECOP. El comité evaluador determinó ganadora a la propuesta de Camerfirma Colombia SAS y se adjudica el contrato 251 de 2023.</t>
  </si>
  <si>
    <t>Se desarrollaron acciones con los Consejos Locales y el Distrital, dentro de las cuales se resaltan la formulación de planes de fortalecimiento y las asistencias técnicas a los Consejos Locales de Juventud del Distrito. La implementación del modelo de fortalecimiento ha permitido generar espacios de asistencia técnica orientados a la construcción Agendas Juveniles; además, se llevó a cabo la construcción del Plan de Fortalecimiento del Consejo Local de Juventud de Puente Aranda en torno a la variable participación en redes asociativas. Se ha logrado impactar un total de 270 jóvenes en las diferentes localidades del distrito.</t>
  </si>
  <si>
    <t>Implementar 310 acciones de fortalecimiento de los medios comunitarios de comunicación alternativa.</t>
  </si>
  <si>
    <t xml:space="preserve">Se implementó el Modelo de Fortalecimiento a 10 organizaciones de medios comunitarios y alternativos, en las diferentes localidades de Bogotá. Así mismo, se han implementado las fases de caracterización, asistencia técnica y formación a 72 medios comunitarios, de acuerdo al grado de madurez de cada uno de ellos. Las 10 organizaciones reportadas se encuentran distribuidas así: 2 en Teusaquillo, 2 en Engativá, 2 en Kennedy, 1 en Rafael Uribe Uribe, 1 en San Cristóbal, 1 en Usaquén y 1 en Fontibón. </t>
  </si>
  <si>
    <t>Se viene adelantando el proceso de iniciativas juveniles planteadas como meta para la vigencia, desarrollando la fase correspondiente al lanzamiento de "Jóvenes con Iniciativa 2023" del Fondo Chikaná (se avanzó en la etapa contractual y se completó la fase de formulación de términos de referencia)  y se dio apertura a la convocatoria el 4 de marzo de 2023. En el periodo de reprogrmación 2023, la meta del indicador para 2023 pasó de 67 a 37 y 2024 pasó de 12 a 25 iniciativas, manteniendo la meta PDD de 250.</t>
  </si>
  <si>
    <t xml:space="preserve">Se implementó el Modelo de Fortalecimiento a 10 organizaciones de medios comunitarios y alternativos, en las diferentes localidades de Bogotá. Así mismo, se han implementado las fases de caracterización, asistencia técnica y formación a 72 medios comunitarios, de acuerdo al grado de madurez de cada uno de ellos. Las 10 organizaciones reportadas se encuentran distribuidas así: 2 en Teusaquillo, 2 en Engativá, 2 en Kennedy, 1 en Rafael Uribe Uribe, 1 en San Cristóbal, 1 en Usaquén y 1 en Fontibón.A partir de la caracterización de 122 organizaciones sociales, se ha iniciado la ruta de fortalecimiento a 12 organizaciones sociales, mediante la aplicación del índice, se tiene previsto con este resultado acompañar el desarrollo de las fases de asistencia técnica, plan de acción, formación y entrega de incentivos. Se avanzó en 33 acciones de fortalecimiento a instancias formales y no formales de participación, dentro de las cuales se resaltan la aplicación del instrumento de caracterización, la elaboración del plan de fortalecimiento, la asesoría técnica y los procesos de formación, de acuerdo a las necesidades de cada instancia. Dentro de las necesidades identificadas en las instancias, se destaca la de Formación, por lo que se enfatiza en la divulgación de los cursos ofrecidos por la Escuela de la Participación del IDPAC, así como la realización de un microtaller de conocimientos básicos "PREZI", un taller paso a paso de como se trabaja en plataforma de PREZI y se revisan las opciones de la interfaz. Se realizaron acciones de fortalecimiento, enmarcadas principalmente en la entrega de Incentivos a 31 organizaciones comunales de 1er y 2do grado, instalando puntos de conexión a internet "Punto Ágora", prestación de asistencia técnica y vinculación a la fase de formación de acuerdo al proceso de caracterización y al plan de acción de cada organización. Se adelantaron acciones de acompañamiento a 91 organizaciones de propiedad horizontal, dentro de las cuales se resaltan acciones de asistencia técnica, capacitaciones presenciales en generalidades de la Ley 675/2001 y sobre el Sistema de Seguridad y Salud en el Trabajo. </t>
  </si>
  <si>
    <t>En la estrategia de Obras con Saldo Pedagógico, se entregaron 38 obras a la comunidad. Se intervinieron más de 7 mil metros cuadrados de espacio público y se beneficiaron más de 17 mil personas de las localidades de Usaquén, Chapinero, Santa Fe, San Cristóbal, Usme, Tunjuelito, Kennedy, Engativá, Suba, Barrios Unidos, Rafael Uribe Uribe y Ciudad Bolívar. Las intervenciones en obras menores consistieron principalmente en recuperación del espacio público, construcción de senderos peatonales, embellecimiento de zonas verdes y mantenimiento de la dotación de parques. Se avanzó en un 66% de las diferentes etapas de la metodología en las obras restantes. Nota: En el primer trimestre del 2023 se incrementa la meta del 2023 de 15 a 152, incrementando la meta PDD de 290 a 335, producto de la adición y prórroga al convenio interadministrativo con la Secretaría Distrital de Hábitat.</t>
  </si>
  <si>
    <t>En el primer trimestre de 2023 se desarrollaron los avances en las siguientes investigaciones: 
1. Investigación de Género y Espacio Público: Se realizó proceso de validación de batería de indicadores con poblaciones focales y se actualizó según la matriz.
2. Investigación Indicador de Estructura Ecológica Principal: Se desarrolló la matriz base de indicadores con las variables POT y otros dos modelos para determinar la validación de variables del indicador.
3. Investigación Espacio Público Inteligente: Se adelantó la matriz de prototipo de variables para el indicador e igualmente la matriz de variables por entidades responsables para solicitar información.
4. Investigación Indicadores Cualitativos: Se desarrolló el documento ABC de indicadores cualitativos, las memorias del seminario internacional de indicadores cualitativos y la matriz para solicitud de información a entidades.</t>
  </si>
  <si>
    <t>Meta programada a desarrollar en el 4 trimestre de 2023, teniendo en cuenta que la ultima actualización se realizó con la versión 4 de la Caracterización vigente desde: 12-10-2022 .</t>
  </si>
  <si>
    <t>Se realizaron las siguientes publicaciones durante el primer trimestre de 2023:
- Avanza con éxito puesta en marcha del Visor Geográfico del Espacio Público de Bogotá.
- Informe trimestral del Observatorio.
- Conocer el Visor Geográfico del Espacio Público, una herramienta digital que te ayudará a explorar los predios y sus entornos en Bogotá</t>
  </si>
  <si>
    <t>Meta programada para ejecutar en el cuarto trimestre de la vigencia 2023,  teniendo en cuenta la programación del Departamento Administrativo de la Función Pública para realizar el reporte del FURAG de la vigencia anterior .</t>
  </si>
  <si>
    <t>Meta cumplida en el año 2022.</t>
  </si>
  <si>
    <t>El avance durante el I trimestre de 2023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contribuyen a la determinación de acciones a incluir en la estrategia que articula las regulaciones de esta actividad económica. 
En este sentido durante los meses de enero, febrero y marzo se realizaron 8 reuniones, las cuales se relacionan y explicitan en el documento de soporte adjunto.</t>
  </si>
  <si>
    <t>Meta cumplida en la vigencia 2022</t>
  </si>
  <si>
    <t>La Defensoría del Espacio Público, tendrá como meta mejorar la interoperabilidad del Sistema de Información de la Defensoría del Espacio Público – SIDEP, para lo cual el primer trimestre de la 2023, ha cumplido con los siguientes hitos:
1.	Diseño del nuevo módulo de Generación de Reportes, utilizando un motor para la generación de reportes separado del sistema del principal, desarrollado con el lenguaje de programación Python que permita independizar el procesamiento de los reportes, independientemente del tamaño y carga que requiera a la base de datos.
2.	Desarrolló el módulo de generación automática de reportes que permite crear nuevas plantillas de reportes a futuro incluyendo parámetros seleccionables para los usuarios.
3. 	  Se realizó el despliegue de los módulos antes mencionados en el SIDEP.</t>
  </si>
  <si>
    <t xml:space="preserve">Avances durante el primer trimestre:
Hitos 1 y 6: Investigación Espacio Público con enfoque de mujer y género: Se realizó la revisión de la batería de indicadores en mesa técnica y trabajo documental con el acompañamiento de la Secretaria Distrital de la Mujer y el Laboratorio de Innovación del DADEP.
Hito 2: No se ha requerido en el período activar la CIEP, sin embargo, si se llevará a cabo allí la socialización del avance del nuevo plan de acción de la Política Pública de Espacio Público, una vez recolectada la información del primer trimestre de implementación.   
Hito 3 y 4: Para el desarrollo e implementación de la herramienta de seguimiento y evaluación cuantitativa y cualitativa de la PPDEP, se comenzará la implementación  a partir del primer trimestre de 2023, dado que la aprobación de la modificación al plan de acción de la PPDEP se aprobó en sesión CONPES en diciembre del año 2022. El nuevo instrumento fue orientado por la Secretaria Distrital de Planeación del cual se realizó socialización en reunión con las entidades participantes de la PDEP en día 30 de marzo en la casa de espacio público.
Hito 5: Se realizó alianza con la Universidad Distrital para el desarrollo del evento de lanzamiento y socialización del DASH BOARD de la batería de indicadores del DADEP.
Hito 7: Se realizó la solicitud de reporte del IV semestre de 2022 y se realizó la socialización del nuevo plan de acción de la PDEP a las entidades el día 30 de marzo de 2023. 
De acuerdo con el desarrollo de los Hitos para el primer trimestre a 31 de marzo de 2023 se alcanzó un porcentaje de avance de 0,95 respecto a las acciones programadas (7 hitos), que corresponden al 14% de avance de la vigencia. 
</t>
  </si>
  <si>
    <t xml:space="preserve"> (01) un informe de gobernabilidad
 (38) treinta y ocho infornes de conflictividad social
(02) actas de capacitación </t>
  </si>
  <si>
    <t>En la línea INSPIRA, se construye el borrador de “instructivo de creación de laboratorios locales” dirigido a brindar insumos a las Alcaldías Locales en la formulación de lineamientos y orientaciones para la creación de unidades de innovación que potencien la gestión eficiente y participativa en las localidades.
En la línea REPIENSA, en el marco de la RED INNOVA como plataforma de identificación de retos de innovación, se instala la primera Mesa Técnica de la Red con la cual se instaló la articulación con las Alcaldías Locales en impulso a las iniciativas de innovación que den solución a desafíos públicos de orden distrital y local liderados por el nivel local como por GOLAB.
En la línea de acción TIC LOCAL, se llevó a cabo la firma simbólica de convenio en la Localidad de Bosa y Rafael Uribe Uribe, cuyo objetivo es cerrar la brecha digital en personas mayores a través del fortalecimiento de sus habilidades comunicativas. El convenio se realiza en apoyo con la Universidad Nacional de Colombia.
En la línea CONECTA, bajo el amparo de fortalecer el ciclo de innovación a grupos de valor externos de la SDG, se implementa la línea de acción en DISCAPACIDAD, para lo cual se diseñó y concertó la estrategia de socialización en localidades de la política pública de discapacidad con la Secretaria Técnica de Discapacidad. (Anexo: PPT estrategia discapacidad).
En la línea LABORATORIOS CÍVICOS, se hizo evaluación y análisis de la implementación de la metodología facilitadora de los laboratorios cívicos en el marco del proceso de presupuestos participativos en la ciudad. Se llevaron a cabo tres reuniones con IDPAC, iBO y el equipo de participación de la SDG para evaluar y proyectar ajustes en la metodología. El proceso permitió formular un primer diseño de ajuste a la metodología, que se testeó internamente para identificar su pertinencia y las barreras a superar.</t>
  </si>
  <si>
    <t>Reto 1. TIC LOCAL. Presentación y avance del Convenio LAB101 UNAL con Bosa y Rafael Uribe Uribe
Reto 2. Proyección de modelo de construcción de la Guía de Laboratorios Cívicos.
Reto 3. Concertación Mesa Técnica de Innovación REDINNOVA LOCAL
Reto 4. Propuesta metodológica de Discapacidad
Reto 5. Proyección de modelo del Instructivo para Laboratorios Locales</t>
  </si>
  <si>
    <t xml:space="preserve">Durante el primer trimestre del año 2023, fue consolidada la información de Causas Ciudadanas 2022. La construcción de estas base de datos es el fundamento para la estructuración del informe de evaluación de la estrategia de participación ciudadana en su segunda edición. Estas cifras, se comparan con las del año 2021 para establecer el impacto de las innovaciones introducidas en su versión más reciente. 
Finalmente, apoyada en su rol de acompañamiento y seguimiento a la implementación de las iniciativas ganadoras de Causas Ciudadanas 2022, se viene realizando monitoreo a los procesos de materialización por medio de reuniones de seguimiento al proceso, informando a cabezas de las entidades competentes y asistiendo a las mesas de trabajo entre estas, o sus delegados, y los creadores de las propuestas elegidas.
En el marco de las disposiciones normativas según el Decreto Distrital 768, la Secretaría Distrital de Gobierno, en articulación con la Secretaría de Planeación Distrital y el IDPAC, desarrollaron, han desarrollado las acciones pertinentes para el ajuste a la ruta metodológica de implementación de los Presupuestos Participativos Fase 2 para la vigencia 2023. Lo anterior refiere a: I) Desarrollo de un proceso de evaluación con los actores claves del proceso para la identificación de avances y oportunidades de mejora y ii) Construcción del documento en versión borrador de la ruta metodológica de imlementación de los presupuestos participativos que deberá ser socializado con los acotres de interes para su retroalimentación. </t>
  </si>
  <si>
    <t>•Base de datos Causas Ciudadanas.
•Matriz de seguimiento.
•Oficios de convocatoria a reuniones. 
Presupuestos Participativos: 
1. Documento de evaluación de la Fase 2 de los Presupuestos Participativos
2. Documento en versión borrador a ser socializado y retroalimentado por los actores que participan en el proceso.</t>
  </si>
  <si>
    <t xml:space="preserve">POLÍTICA PÚBLICA INTEGRAL DE DERECHOS HUMANOS 
Con relación a los reportes de seguimiento para el primer trimestre se avanzó en el trámite y envío de solicitud de reporte a los sectores con productos comprometidos en la política pública. Las entidades con productos a cargo dentro de la Política Pública Integral de DDHH deberán entregar la información durante la primera semana del mes de abril, la cual se consolidará como reporte de implementación.  
 En el ejercicio de seguimiento a la implementación de la PPDDHH se realizó el 23 de marzo de 2023 la primera sesión del Comité Distrital de Derechos Humanos, en la que se presentó un balance general de cumplimiento a los planes de acción de las Acciones Afirmativas a cargo de la Direción de Asunto Etnicos y se socializó el plan de trabajo anual de la instancia. 
Asimismo, la Dirección de Derechos Humanos de la Secretaría Distrital de Gobierno a partir de su competencia como líder de la Política Pública Integral de Derechos Humanos, presentó en diciembre ante el CONPES los ajustes al plan de acción de dicha política y actualmente se está a la espera de la firma del acta del CONPES para hacer oficial los cambios al plan de acción de la política. </t>
  </si>
  <si>
    <t>1. Oficios solicitud primer reporte plan de acción PPDDHH
2. Documento de recomendaciones para el diligenciamiento de la matriz del Plan de Acción PPDDHH.
3. Acta del Comité Distrital de DDHH.
4. Informe de instancia de coordinación del Comité de DDHH.</t>
  </si>
  <si>
    <t>No programada</t>
  </si>
  <si>
    <t xml:space="preserve">No programada </t>
  </si>
  <si>
    <t xml:space="preserve">POLÍTICA PÚBLICA DE LUCHA CONTRA LA TRATA DE PERSONAS
Con relación a los reportes de seguimiento para el primer trimestre se avanzó en el trámite y envío de solicitud de reporte a los sectores con productos comprometidos en la política pública. Las entidades con productos a cargo dentro de la Política Pública Lucha Contra la Trata de Personas deberán entregar la información durante la primera semana del mes de abril, la cual se consolidará como reporte de implementación.  
 En el ejercicio de seguimiento a la implementación de la PPDDHH se realizó el 28 de marzo de 2023 la primera sesión del Comité de Lucha Contra la Trata de Personas, en la que se presentó en el desarrollo de la sesión los siguientes temas: Desarrollo Orden del día 4.1 Presentación Propuesta de Acciones 2023 4.2 Varios: i) Acuerdos Mesas Técnicas </t>
  </si>
  <si>
    <t>1. Oficios solicitud primer reporte plan de acción PPLCTP
2. Documento de recomendaciones para el diligenciamiento de la matriz del Plan de Acción PPLCTP.
3. Acta del Comité Lucha Contra la Trata de Personas.</t>
  </si>
  <si>
    <t>Durante el primer trimestre, el Observatorio de Conflcitividad Social  ha logrado desarrollar 42 documentos distribuidos de la siguiente manera:  un (1) informe de gobernabilidad y tendencia en redes, donde se registraron la totalidad, a corte de 28 de febrero, las movilizaciones sociales acompañadas por el equipo de la línea de protestas de la DCDS, de igual forma, se monitorearon las principales problemáticas sociales en la ciudad, puestas en la agenda pública por medio de la revisión de prensa y redes sociales; treinta y ocho (38) informes o documentos en materia de conflictividad social, cumpliendo así, el 100% del indicador hasta la fecha. Estos informes se dividen en documentos de la línea de protesta social y la línea de profundización. Frente a la línea de protesta se han producido veinte (20) documentos discriminados en siete (7) informes de balance de posmovilización, seis (6) Resumen de Contexto Semanal de Movilizaciones y Eventos, cuatro (4) resúmenes de movilización social y tres (3) informes de contexto de movilizaciones. Para la línea de profundización se entregaron doce (12) informes de línea base por sector, cuatro (4) fichas de conflictividades por localidad y dos (2) informes especiales de disposición inadecuada de residuos y carretismo en Bogotá.
Dentro del proceso de caracterización de actores Sociales se desarrollaron dos (2) jornadas de capacitación a los equipos para la recolección de información, posteriormente se aplicó el instrumento en los diferentes escenarios de acompañamiento y finalmente, se han logrado caracterizar y validar treinta (30) actores sociales que promueven el diálogo, la convivencia y los DDHH y/o que inciden directa o indirectamente en la conflictividad social en la ciudad.</t>
  </si>
  <si>
    <t>Durante el primer trimestre del año, se trabajó y avanzó en la definición del tema pertinente para la Secretaría Distrital de Gobierno para construir el documento de análisis de actores políticos 2023.
En primera instancia, se realizó una reunión con el director de Relaciones Políticas para recoger sus recomendaciones, lineamientos y sugerencias de temas para este documento de análisis. Basados en estos insumos, se procedió a construir unas propuestas temáticas iniciales sobre las líneas de investigación pendientes por desarrollar.
A partir de esta primera base de temáticas posibles, se realizó un trabajo de depuración y complementación de propuestas temáticas en conjunto con los integrantes del Observatorio de Asuntos Políticos. En total, se definieron tres posibles temas para el documento de actores políticos, cada uno asociado a una línea de investigación diferente. Gobernabilidad, calidad de la democracia y accountability social.
Las propuestas temáticas que resultaron del ejercicio anterior fueron presentadas al Secretario Distrital de Gobierno y al Director de Relaciones Políticas en reunión realizada el 27 de marzo de 2023</t>
  </si>
  <si>
    <t>Reporte de avance</t>
  </si>
  <si>
    <t>De acuerdo con la metodología definida por MINTIC y a su iniciativa sello de excelencia, se creó la estrategia sectorial alineada con el modelo gobierno abierto Bogotá, la cual tiene como objetivo principal lograr para las tres entidades del sector (IDPAC, DADEP y Secretaría de Gobierno) el sello de excelencia en la categoría de datos abiertos nivel 1, por lo cual se realizaron las siguientes actividades:
1- Identificación de los sets de datos, candidatos para conformar el inventario de datos abiertos
2- Con base al inventario conformado, selección de los sets de datos, de acuerdo con los criterios establecidos para datos abiertos.
3- Mesas de trabajo con las dependencias dueñas de la información, para la entrega de los sets de datos que serán publicados.
4- Preparación técnica y legal de los sets de datos.
5- Publicación de los conjuntos de datos, en el portal de datos abiertos del distrito.
Logros
Publicación de seis conjuntos de datos abiertos, en el portal del distrito:
1- Conjuntos residenciales y cerrados de Bogotá
2- Beneficiaros Microempresa Local 2022
3- Trazabilidad de Expedientes Tramitados
4- Inscritos microempresa local
5- Inscritos microempresa local
6- Caracterización de usuarios en espacios de atención diferenciada – EAD.</t>
  </si>
  <si>
    <t>Informe de avance</t>
  </si>
  <si>
    <t>Se realizó la preparación del Consejo de Gobierno Distrital realizado en el mes de enero 2023, con las entidades del Sector Gobierno, de acuerdo con las directrices de la Alcaldía Mayor de Bogotá.</t>
  </si>
  <si>
    <t>Soporte Presentación Sector Gobierno</t>
  </si>
  <si>
    <t xml:space="preserve">Informe trimestral avance meta proyecto 9 desarrollar 100 por ciento de las acciones de la política pública de transparencia, integridad y no tolerancia con la corrupción con aplicación en el nivel central y local de la SDG
</t>
  </si>
  <si>
    <t>Se adjunta archivo en Microsoft Word del Informe trimestral  acciones de la política pública de transparencia, integridad y no tolerancia con la corrupción con aplicación en el nivel central y local de la SDG</t>
  </si>
  <si>
    <t xml:space="preserve">Durante el primer trimestre de 2023 no se tiene programado la presentacion del informe de  avance cuantitativo del I trimestre del IGPL 2023,puesto que los insumos y datos necesarios para hacer posible el informe de avance se consolidaran en el mes de abril de 2023 de acuerdo, con los tiempos de respuesta de la Secretaría Distrital de Planeación  entidad competente en la realizacion del seguimiento local de los planes de desarrollo locales a fin de calcular el indicador PEFM local. Sin embargo, para los resultados de la gestión local correspondiente a los meses de octubre, noviembre y diciembre de 2022 se consolidó el reporte de los nueve (9) indicadores que componen el Indice de Gestión Pública Local - IGPL con corte al 31 de diciembre del 2022 realizando la comparacion con las vigencias precedentes 2020,2021.
De igual manera, se solicitaron los insumos correspondientes para consolidar  los porcentajes de avance en los seis (6) indicadores con periodicidad de reporte vigente con corte a 31 de enero, 28 de febrero y 31 de marzo de 2023 para consolidar los indicadores PEP, PEG, POP, PEPAC,PDAA, PAPF y PPQRC, en la matriz de seguimiento del IGPL creada y formulada para los datos del 2023.
</t>
  </si>
  <si>
    <t>Informe IGPL a 31 de Diciembre 2022, vigencias 2022-2021-2020.
Libro en excel de seguimiento IGPL 2020.
Libro en excel de seguimiento IGPL 2021.
Libro en excel de seguimiento IGPL 2022.
Correos electronicos solicitando cierre MUSI 2022.
Correos electronicos solicitando cierre presupuestal 2022.
Correos electronicos solicitando cierre presupuestal  primer  trimestre de 2023.
Correo electronico solicitando PAC de los FDL para vigencia 2023.
Correos electronicos solicitando los insumos para medir los indicadores de atencion a la ciudadanía: Disminución de Actuaciones Administrativas, Actuaciones de Policía Falladas y  PQR Contestadas por cada alcaldía local para el I trimeste de 2023.
Insumos PAC programado y ejecutado en los FDL descargados en archivo Excel de la Pagina de la Secretaria Distrital de Hacienda para el IV trimestre de 2022.</t>
  </si>
  <si>
    <t xml:space="preserve">Se consolida el seguimiento al Plan Estratégico Sectorial correspondiente al primer trimestre de 2023. En la meta No. 22 se incrementa la magnitud tal de 300 a 310 y la magnitud de la vigencia 2023 de de 130 a 140 organizaciones de medios comunitarios acompañados y se modifica la programación de la meta No. 23 y 25 para los años 2023 y 2024, de acuerdo con la comunicación de IDPAC. Se aumenta la magnitud de las metas No. 4, 5 y 31 para la vigencia 2023, de acuerdo con la comunicación de la Subsecretaría para la Gobernabilidad y Garantía de Derechos de la SDG. </t>
  </si>
  <si>
    <t>26 de abril de 2023</t>
  </si>
  <si>
    <t>Circular DAFP</t>
  </si>
  <si>
    <t>No se reporta avance de la meta, dado que no se ha solicitado la medición del Índice de Transparencia de Bogotá ITB por parte de la Veeduría Distrital y Transparencia por Colombia.</t>
  </si>
  <si>
    <t xml:space="preserve">De acuerdo con la Circular Externa No. 100-003-2023, el Departamento Administrativo de la Función Pública - DAFP estableció los Lineamientos para el registro de información a través del Formulario Único de Reporte y Avance de Gestión - FURAG vigencia 2022 y el cronograma de actividades para la medición del Índice de Desempeño Institucional. Dicho cronograma establece que el reporte del FURAG finaliza en el mes de julio de 2023, por lo tanto, aún no se cuenta con los resultados del IDI para las entidades del Sector Gobierno. </t>
  </si>
  <si>
    <t xml:space="preserve">Soporte de reunión 
Correo de compromisos SDG, SDP, IDPAC
Informe de Gestión </t>
  </si>
  <si>
    <t xml:space="preserve">Se realizó reunión con áreas de la SDG, el IDPAC y la Secretaría de Planeación para la preparación del diálogo ciudadano sobre presupuestos participativos que se realizará en el mes de Julio de 2023. En la reunión se concertó el cronograma de actividades, responsables y fechas por parte de las entidades participantes. Adicionalmente, se dictaron lineamientos para la elaboración del informe ejecutivo de gestión de entrega de cargo del Secretario de Gobierno a junio de 2023, cuyos resultados se reflejan en el capítulo 12. </t>
  </si>
  <si>
    <t>De acuerdo con la estrategia de Tecnología e Información - TI, se avanzó en el desarrollo del objetivo "Desarrollar un plan de trabajo por cada Entidad, teniendo en cuenta los requerimientos para el cumplimiento de los requisitos para la certificación del Sello de Excelencia", para lo cual la SDG publicó y actualizó 20 set de datos en el portal de datos abiertos del Distrito. Los conjuntos de datos publicados en el portal de datos abiertos del Distrito, se identificaron con la actualización del segundo componente "atributos de información" del catálogo de componentes de información del nivel central, el cual se encuentra publicado en la intranet, matiz / Información y comunicación http://gaia.gobiernobogota.gov.co/content/informaci%C3%B3n-y-comunicaci%C3%B3n
Continuando con las actividades para lograr el sello de excelencia de Gobierno Digital, el cual es una certificación que le permitirá a la entidad garantizar y certificar alta calidad de la información de valor público al ciudadano y actores solicitantes, se convocaron mesas de trabajo con MINTIC para restablecer el acceso a la plataforma de postulación al Sello, sin embargo, no fue posible continuar dado que MINTIC cerró la plataforma debido a cambios tecnológicos, normativos y de recurso humano; por lo tanto, la entidad se encuentra a la espera de recibir notificación para continuar con dicho proceso. Igualmente, se enviaron correos electrónicos para el agendamiento de reunión con el fin de retomar las actividades y así poder cumplir el objetivo.</t>
  </si>
  <si>
    <t>13 informes de Resumen de Contexto Semanal de Movilizaciones y Eventos
4 informes de contexto 
3 informes de posmovilización 
3 resúmenes de movilización
2 fichas de conflictividades por localidad
2 informes de gobernabilidad y tendencia en redes
2 informes de vulneración de derechos humanos 
1 informe de caracterización de actores
1 informe de redes de actores
1 informe especial de conflictividad social
1 informe de línea base de problemáticas
5 actas de socialización
1 matriz de mantenimientos y actualizaciones</t>
  </si>
  <si>
    <t>El Observatorio de Conflictividad Social coordinado por la Dirección de Convivencia y Diálogo Social, durante el periodo comprendido entre el 1 de abril y el 30 de junio de 2023, desarrolló treinta y tres (33) informes en materia de conflictividad social desde sus líneas de investigación de actores sociales, derechos humanos, gobernabilidad y protesta social, discriminados de la siguiente forma:  trece (13) informes de Resumen de Contexto Semanal de Movilizaciones y Eventos, cuatro (4) informes de contexto, tres (3) informes de posmovilización, tres (3) resúmenes de movilización, dos (2) fichas de conflictividades por localidad, dos (2) informes de gobernabilidad y tendencia en redes, dos (2) informes de vulneración de derechos humanos, un (1) informe de caracterización de actores, un (1) informe de redes de actores, un (1) informe especial de conflictividad social y un (1) informe de línea base de problemáticas. 
De igual forma, en el periodo señalado, se logró generar cinco (5) espacios de socialización con actores externos de la Secretaría de Gobierno, de los procesos de gestión de conocimiento y gestión de la información que produce y acopia el Observatorio de Conflictividad Social, a señalar: Universidad del Rosario, Universidad Distrital Francisco José de Caldas, Universidad Gran Colombia, Escuela Superior de Administración Pública y Observatorio de Participación del IDPAC. 
Finalmente, se efectuó setenta y ocho (78) mantenimientos preventivos, correctivos y actualizaciones del sistema de información Poliscopio, con el propósito de incorporar nuevas funcionalidades, variables, mejoras de rendimiento y captura de información, así como la capacidad de análisis de datos, eficiencia en la gestión de información y calidad del dato.</t>
  </si>
  <si>
    <t xml:space="preserve">1. Se construyó el "Instructivo de Laboratorios", el "Formato de Seguimiento de las Acciones de las Unidades de Innovación" y el "Instructivo de Facilitación de la Caja de Herramientas" en su versión definitiva a partir del feedback de la Oficina Asesora de Planeación. Con el instructivo se pretende que las Alcaldías Locales cuente con las orientaciones necesarias para la creación de unidades de innovación.
2. En el marco de la RED INNOVA se realizaron 3 encuentros de la mesa técnica, en donde se promovió el desarrollo de proyectos innovadores para que contribuyan al progreso y al desarrollo sostenible de las localidades involucradas. 
3. En la iniciativa TIC LOCAL, en su componente de "Embajadores Digitales" en las localidades de Rafael Uribe Uribe y Bosa 220 adultos mayores fueron capacitados en Gestión Local, Apropiación TIC y actualmente se encuentran estudiando Liderazgo social. A la fecha, se han completado 90 horas de capacitación de 120. 
En "Localidad Digital" se visitaron las localidades de Suba, Engativá, Usme, Santa Fé, Usaquén y Los Mártires con la iniciativa Hackatón.  
"Aceleración de empredimientos" se ha generado el contacto con diferente actores públicos y privados para mentoría, acompañamiento y apadrinamiento de emprendimientos locales que promueven el fortalecimiento de diferentes actividades económicas a través del uso intensivo de las TIC 
4. En el marco de LabIncluyéndonos, se diseñó y concertó la estrategia de socialización de la política pública de discapacidad con la Secretaria Técnica de Discapacidad.
5. En la línea LABORATORIOS CÍVICOS, se realizó la guía metodológica facilitadora de los laboratorios cívicos. 
6. En relación al estrategia de "Cohesión Social" Se han realizado 3 ecos fest en donde se generaron actividades para transformar imaginarios y comportamientos discriminatorios en la comunidad, para prevenir la discriminación racial y la xenofobia. </t>
  </si>
  <si>
    <t xml:space="preserve">En el segundo trimestre del año 2023 se estructuró y presentó el borrador del documento evaluativo de la estrategia de participación; el documento fue revisado, aprobado y se encuentra en proceso de diagramación por el equipo de comunicación. Igualmente, la Secretaría Distrital de Gobierno, ha venido realizando el monitoreo al proceso de implementación de las iniciativas ganadoras de Causas Ciudadanas del año 2022, lo que ha permitido establer que cuatro (4) propuestas están en materialización y una (1), competencia de la Secretaría Distrital de Educación, continúa en etapa de planeación. Frente a esta situación, la Secretaría de Gobierno realizó un requerimiento formal para conocer actualizaciones del proceso. Adicionalmente, se consolidó el documento de ruta metodológica para la implementación del proceso de Presupuestos Participativos en Bogotá, a partir de la expedición de la Circular Conjunta 007. Este documento fue construído de manera articulada por los actores en el marco del Acuerdo Distrital 740 y el Decreto Distrital 768, y se diseñó la ruta metodológica para la implementación de los Laboratorios Cívicos según las disposiciones de dicha Circular. Este mecanismo/ruta de participacción, es una estrategia que a través de la innovación busca fortalecer la participación incidente, fortaleciendo las capacidades de la administración y de la ciudadanía para la participación en el proceso de presentación de iniciativas. Se implementaron mejoras en materia de tecnología al módulo de Presupuestos Participativos de la plataforma de participación del Gobierno Abierto de Bogotá. </t>
  </si>
  <si>
    <t xml:space="preserve">POLÍTICA PÚBLICA INTEGRAL DE DERECHOS HUMANOS
Teniendo en cuenta la estrategia de seguimiento establecida por la Secretaría Distrital de Planeación (sdp) para los reportes de seguimiento a la implementación de las Políticas Públicas del Distrito, durante el mes de abril se trabajó en la revisión de cada uno de los reportes allegados por las entidades que tienen productos en la Política Pública Integral de Derechos Humanos y se avanzó en la subsanación de los reportes que presentaban alguna novedad o inconsistencia, haciendo posible la remisión del reporte consolidado de seguimiento I trimestre 2023, el 28 de abril. Adicionalmente, con miras a fortalecer el seguimiento a la implementación de esta Política, durante el II trimestre 2023 se llevó a cabo el proceso de armonización de la matriz del plan de acción de la Política, el cual, para esta Política en particular, consistió en poder garantizar que los ajustes solicitados y aprobados por la Secretaría Distrital de Planeación hubiesen quedado incoporados de manera correcta en la matriz del plan de acción de la Política y en cada una de las fichas de producto y de las fichas de resultado. Cabe mencionar que el proceso de armonización también es fundamental y el primer paso para la incorporación de los reportes de la Política en el Sistema de seguimiento establecido por la SDP. </t>
  </si>
  <si>
    <t xml:space="preserve">POLÍTICA PÚBLICA DE LUCHA CONTRA LA TRATA DE PERSONAS
Se trabajó en la revisión de cada uno de los reportes allegados por las entidades que tienen productos en la Política Pública de Lucha contra la Trata de Personas. Cabe mencionar que de acuerdo con esta validación las inconsistencias identificadas fueron notificadas a las entidades solicitando la subsanación.  Se remitió el seguimiento consolidado I trimestre 2023 a la SDP, dentro de los tiempos establecidos. 
Adicionalmente se recibió el informe de seguimiento cualitativo para la Política Pública para la lucha contra la trata de personas, realizado por la Secretaría Distrital de Planeación para validación y retroalimentación.  Se identificaron algunas inconsistencias relacionadas con la consolidación del avance cuantitativo de algunos productos que afectaban el estado de implementación de la Política y mediante mesa de trabajo virtual con la Oficina Asesora de Planeación de la SDG y con la SDP se lograron subsanar oportunamente. 
De la misma manera, atendiendo el compromiso de seguimiento a la implementación de esta Política Pública durante el trimestre se trabaja en el reporte de resultados de la vigencia. Es importante mencionar que, de acuerdo con la periodicidad de medición de los indicadores de resultado, la cual es anual, el reporte corresponde a la vigencia 2022. En el proceso de reporte de resultados, el cual se realizó de manera paralela a la subsanación de inconsistencias de la matriz del plan de acción, se identificaron oportunidades de mejora y la necesidad de solicitudes de ajuste que fueron trabajadas con el equipo de la Ruta de atención contra el delito de trata de personas.  
 </t>
  </si>
  <si>
    <t xml:space="preserve">
Se presenta Informe trimestral acciones de la política pública de transparencia, integridad y no tolerancia con la corrupción con aplicación en el nivel central y local de la SDG.</t>
  </si>
  <si>
    <t xml:space="preserve">
Informe trimestral avance</t>
  </si>
  <si>
    <t xml:space="preserve">Durante el segundo trimestre de 2023, se programó la presentacion del informe de  avance cuantitativo del primer trimestre 2023 del Índice de Gestión Local - IGPL, puesto que los insumos y datos necesarios para hacer posible esta medición se consolidan en el mes de junio de 2023 en la Matriz Unificada de Seguimiento a la Inversión (MUSI) por parte de la Secretaría Distrital de Planeación. Al respecto es importante mencionar que el Índice utiliza la información del seguimiento a los planes de desarrollo local y el reporte del Plan Anual Mensualizado de Caja (PAC) de cada una de las alcaldias locales reportado por la Secretaría Distrital de Hacienda. </t>
  </si>
  <si>
    <t>Informe del Índice de Gestión Pública Local
Correos electronicos solicitando los insumos para medir el IGPL.</t>
  </si>
  <si>
    <t xml:space="preserve">Durante el período, se progresó en el análisis exploratorio de las variables, se definió la estructura del capítulo de acuerdos de gestión local y se realizó la sistematización del seguimiento de los compromisos establecidos por la Administración durante las mesas de gestión local. </t>
  </si>
  <si>
    <t>Se actualizó el documento "Estrategia metodológica de asistencia a alcaldías locales y entidades distritales en temas de planeación y presupuestos participativos", se prestó asistencia técnica en temas de planeación y presupuestos participativos. Se expidió la Circular Conjunta 007 de 2023, entre el IDPAC y las Secretarías Distritales de Planeación y Gobierno, por medio de la cual se regula la fase 2 de la estrategia de presupuestos participativos en el Distrito Capital.</t>
  </si>
  <si>
    <t>Se avanzó en la implementación de la estrategia mediante la realización de 82 actividades relacionadas con la emisión de programas de DCTV y DCRADIO, se diseñaron y publicaron 424 piezas gráficas y audiovisuales. Se realizó la difusión, promoción y acompañamiento a las actividades, proyectos estratégicos e hitos, en las redes sociales de Premios Benkos Biohó,  Fondo Chikaná - Fortalecimiento de Organizaciones Sociales, Festival de K-Pop y Marcha LGBTI Festival por la Igualdad, con un avance acumulado a 30 de junio del 13%, de acuerdo a la programación.</t>
  </si>
  <si>
    <t>Se realizó el "Democracy Fest 2", el cual reunió en las instalaciones del IDPAC a los Clubes de la Democracia de los colegios oficiales y privados de Bogotá, con el fin de crear el Club Distrital de Jóvenes que lideran procesos participativos e innovadores en torno a los valores democráticos. Este evento contó con la participación de  47 colegios, 44 públicos y 3 privados, públicos y privados con un total de 470 estudiantes. Se realizó la convocatoria, calificación y selección de ganadores en el contexto de la convocatoria de fortalecimiento de organizaciones sociales - Fondo Chikaná, que promueven iniciativas basadas en la innovación social o ciudadana que den soluciones a las problemáticas sociales mediante el uso de la técnología o metodologías abiertas desde la inteligencia colectiva y colaborativa como mecanismo para fomentar la participación en Bogotá; de acuerdo al cronográma de la convocatoria se desarrollarán las actividades pertinentes para lograr la implementación del laboratorio de PartiLab.</t>
  </si>
  <si>
    <t xml:space="preserve">Se avanzó en la implementación del Observatorio, destacando como principales avances el documento de análisis sobre luchas sociales en Bogotá, construcción del informe de seguimiento a la política pública de participación ciudadana de la administración actual y una comparación de sus resultados con las dos administraciones anteriores. Elaboración de la serie de cartografía interactiva acompañada de textos descriptivos sobre la participación en Bogotá con base en los datos obtenidos de la Plataforma de la Participación 2.0 </t>
  </si>
  <si>
    <t>Se avanzó en la actualización del Plan Estratégico de Tecnologías de la Información y las Comunicaciones - PETI - de acuerdo al marco normativo vigente. Así mismo, se adelantaron jornadas de capacitación en el uso de la herramienta GLPI, a través de la cual se canalizan todas las solicitudes de soporte técnico. Adicionalmente, se realizaron mejoras al módulo de Inspección, Vigilancia y Control en la plataforma de la Participación</t>
  </si>
  <si>
    <t>Se desarrollaron 11 acciones con los Consejos Locales, a través del acompañamiento en la aplicación del Índice de Fortalecimiento, la Formulación de Planes de Acción y Asistencias Técnicas, de acuerdo a las necesidades propias de cada Consejo.</t>
  </si>
  <si>
    <t>En el marco de la convocatoria "Jóvenes con Iniciativas 2023 - Fondo Chikaná", se avanzó en la fase precontractual en lo referente al estudio de mercado para la adquisición de elementos tecnológicos. El día 9 de junio, se publicaron en el micro sitio Fondo Chikaná - Jóvenes con Iniciativas, los resultados de las 30 iniciativas ganadoras a financiar, que corresponden a 21 organizaciones sociales juveniles y 9 organizaciones juveniles de víctimas o defensoras de los derechos de las víctimas.</t>
  </si>
  <si>
    <t>Se formaron 2526 ciudadanos en 60 procesos de formación (8 en modalidad presencial y 52 en modalidad virtual), de acuerdo con el plan de formación de la Escuela de la Participación. Así mismo, se está implementando estrategia "La Escuela va a la Escuela", la cual consiste en el desarrollo de procesos de formación con jóvenes de entre 14 y 18 años en los colegios del Distrito, en donde se desarrollan curso talleres (de 6 horas, en 3 sesiones de 2 horas) sobre los Presupuestos Participativos (formulación, votación e implementación). Entre enero y junio de 2023, se han formado un total de 6.065 personas</t>
  </si>
  <si>
    <t>Se implementó el modelo de fortalecimiento a instancias étnicas, realizando 6 planes de fortalecimiento, 5 instancias formadas y 2 evaluaciones del Módelo de Fortalecimiento. Así mismo, en el mes de mayo, se realizó la premiación en el marco de los premios Benkos Bohió 2022-2023, entregando 19 estatuillas y 19 bonos de $1.600.000 c/u en la Categoría Individual y 6 estatuillas y 6 bonos por valor de $5.000.000 c/u en la Categoría Organizacional, estos bonos serán redimibles en elementos tecnológicos.</t>
  </si>
  <si>
    <t>Se implementó el Modelo de Fortalecimiento a 24 organizaciones de medios comunitarios y alternativos, en las diferentes localidades de Bogotá. Así mismo, se han implementado 67 caracterizaciones, 18 asistencia técnica, 29 planes de fortalecimiento y procesos de formación, de acuerdo al grado de madurez de cada uno de ellos. Durante el segundo trimestre de la vigencia se adelantó la fase de convocatoria para recibir la inscripción de las diferentes organizaciones a los recursos y metodología del fondo Chikaná; se espera de acuerdo al cronográma, aplicar el modelo de fortalecimiento a 106 organizaciones.</t>
  </si>
  <si>
    <t>En la ruta de fortalecimiento para organizaciones comunales de primer y segundo grado, durante el primer semestre se entregaron incentivos a 90 organizaciones instalando puntos de conexión a internet, brindando asistencia técnica y vinculando a las organizaciones a procesos de formación, a partir del Plan de Acción y resultados de la aplicación del Índice de Fortalecimiento. Así mismo, se resalta la entrega de Incentivos de la Convocatoria ‘Juntas De Colores: Fondo Chikaná 2022” a 7 organizaciones comunales. Las asistencias técnicas y jornadas de formación, se han enfocado al fortalecimiento de las capacidades, funciones, procesos y procedimientos ajustados a la Ley 2166 de 2021. Adicionalmente, se realizó acompañamiento técnico a las organizaciones de propiedad horizontal, principalmente en las temáticas de las generalidades de la Ley 675/2001 y sobre el Sistema de Seguridad y Salud en el Trabajo. Así mismo, mensualmente, se desarrolla la Secretaria Técnica a los 19 Consejos Locales de Propiedad Horizontal y al Consejo Distrital. Se destaca que, la implementación y ejecución del ciclo de fortalecimiento ante las organizaciones vinculadas a la Propiedad Horizontal, han permitido la reducción de conflictos internos por desconocimiento en la implementación de la Ley bajo la cual se rigen, así como una mejor convivencia y manejo de las responsabilidades de los órganos internos. De otra parte, se implementó el Modelo de Fortalecimiento a 34 organizaciones de medios comunitarios y alternativos en las diferentes localidades de Bogotá y se han implementado 139 caracterizaciones, 18 asistencias técnicas, 59 planes de fortalecimiento y formación a 18 medios comunitarios, de acuerdo al grado de madurez de cada uno de ellos. Durante el segundo trimestre de la vigencia se adelantó la fase de convocatoria para recibir la inscripción de las diferentes organizaciones a los recursos y metodología del fondo Chikaná; se espera de acuerdo al cronográma, aplicar el modelo de fortalecimiento a 106 organizaciones.
En la aplicación del Modelo de Fortalecimiento a Organizaciones Sociales, se han realizado 301 caracterizaciones, 301 planes de fortalecimiento, 301 asistencias técnicas, 136 en proceso de formación, 34 incentivos y 34 evaluaciones. Así mismo, se contempla para el segundo semestre la entrega de incentivos y la culminación del proceso de fortalecimiento. 
En cuanto al fortalecimiento a instancias de participación, se avanzó en el desarrollo de 74 acciones de fortalecimiento a instancias formales y no formales de participación, a las cuales se les ha aplicado el instrumento de caracterización, la elaboración del plan de fortalecimiento, la asesoría técnica y los procesos de formación, de acuerdo a las necesidades de cada instancia.</t>
  </si>
  <si>
    <t>Durante el segundo trimestre se avanzó en 64 Obras con Saldo Pedagógico, según la metodología definida. Así mismo, se avanzó en las acciones de la fase de alistamiento de documentación para la suscripción de los convenios solidarios de las 60 OSP ganadoras en el marco de la convocatoria Fondo Chikaná 2023. A partir del 1 de junio, día en que se publicaron las propuestas ganadoras se iniciaron las acciones con cada uno de los equipos técnicos y sociales para el acompañamiento y asesoría en la consecución de los documentos necesarios para la suscripción de los contratos y la firma de los convenios solidarios con un total de 31 OSP que completaron los documentos necesarios.</t>
  </si>
  <si>
    <t>En cuanto a la implementación de la estrategia de articulación territorial, de acuerdo a la programación se realizó el seguimiento correspondiente a las acciones concertadas con los territorios. De igual forma, se ejerció la secretaria técnica de la CLIP en diferentes localidades y se prestó asistencia técnica en diferentes instancias de coordinación territorial. Junto con la Secretaria de Cultura se adelantaron acciones para el fortalecimiento de las Bibliotecas Comunitarias en convenio con BiblioRed. Se realizó la caracterización de tenderos en la localidad de San Cristóbal y se llevó a cabo un recorrido por diferentes puntos de la localidad de Bosa para identificar organizaciones o instancias para aplicar la caracterización de nuevos sujetos de la participación. Por otra parte, se llevó a cabo el Picnic de la Participación y en diferentes escenarios se divulgó el portafolio de servicios de la entidad. Adicionalmente, se desarrollaron actividades de participación con niños y niñas del Semillero de Participación.</t>
  </si>
  <si>
    <t>Se contribuyó en la construcción de lazos de confianza entre la ciudadanía y las entidades estatales promoviendo el dialogo y generación de acciones colectivas innovadoras y creativas a través de la firma de dos (2) pactos a saber: Pacto con la niñez y Unidos por un Territorio Libre de Residuos San Felipe. Igualmente se han adelantado las fases de explorar, conocer, comprender y co-crear con los siguientes pactos: Por la Cultura de Ciudad Bolívar, Bolonia, Por desarrollo económico del barrio Egipto, Urapanes, Villa Alemania, Nuevo Chile, Dialogando Pactamos, La Floresta Sur, Por el Eco Barrio La Perseverancia y Eco Barrio El Cortijo</t>
  </si>
  <si>
    <t>En el segundo trimestre de 2023 se desarrollaron los avances en las siguientes investigaciones: 
1. Investigación de Género y Espacio Público: Se realizó la planeación del dialogo ciudadano, generando los documentos base de metodología y guion del video de difusión, así como la mesa técnica con la Secretaria Distrital de la Mujer para la revisión de la batería de indicadores, igualmente se diseñaron los instrumentos para el diálogo ciudadano. Este Diálogo Ciudadano Espacio Público con Enfoque de Mujeres y Género es insumo para la batería de indicadores de espacio público para las mujeres.
2. Investigación Indicador de Estructura Ecológica Principal: Se actualizó la matriz base de indicadores con las variables trabajadas, igualmente se desarrolló la planeación de la actividad ciudadana de recorrido en el Río Bogotá, generando la pieza audiovisual de difusión y la parrilla de comunicación, se hizo la actividad de reconocimiento del río Bogotá con la CAR y la ciudadanía y un documento de avance de la propuesta. Adicionalmente, se realizó la socialización de resultados a la Secretaria Distrital de Integración Social, de la investigación de Calidad del Aire del Espacio Público en la primera infancia.
3. Investigación Espacio Público Inteligente: Se adelantaron las mesas de trabajo para analizar las variables técnicas y la base de comparación con las ciudades seleccionadas, igualmente se adelantó el proceso de inicio de acuerdo de entendimiento con la Universidad La Gran Colombia para su apoyo en esta investigación, se incluyó al equipo de la investigación como parte del comité académico del IV Congreso Internacional de Ciudad, Espacio Público y Territorio de la CLEFA.
4. Investigación  Indicadores Cualitativos: Se realizó el análisis de los resultados de los instrumentos aplicados y se envió a revisión a la Universidad Piloto de Colombia. Se realizó presentación de la investigación a la Universidad de los Andes e igualmente se diseñaron los bullets para la divulgación ciudadana. Y se realizaron avances en las investigaciones de Espacio Público Inteligente, Espacio Público Natural y Adaptado al Cambio Climático y reporte técnico de indicadores.</t>
  </si>
  <si>
    <t>Soportes de avance en Investigaciones</t>
  </si>
  <si>
    <t>Meta programada a realizarse  en el  cuarto trimestre de 2023, teniendo en cuenta que la última actualización se realizó con la versión 4 de la Caracterización vigente desde: 12-10-2022 .</t>
  </si>
  <si>
    <t xml:space="preserve">Se realizaron las siguientes publicaciones durante el segundo trimestre de 2023:
- Defensoria del Espacio Público socializó instrumentos que recolectarán datos sobre la relación de las mujeres con los entornos.
- La inclusión de la mujer en el espacio público: Bogotá desarrolla la batería de indicadores pionera en Latinoamerica.
- Inscribite en "Navegando Con-sentido", y descubre el Río Bogotá, un espacio público natural de la capital. 
- Bogotá con nuevo aliado lidera la creación de una red latinoamericana de ciudadaes en defensa del espacio  público. </t>
  </si>
  <si>
    <t>Soportes Publicaciones de Espacio Público</t>
  </si>
  <si>
    <t>La Defensoría del Espacio Público, en el marco de mejorar la interoperabilidad del Sistema de Información de la Defensoría del Espacio Público – SIDEP, durante el segundo trimestre de la vigencia  2023, ha cumplido con los siguientes hitos:
1). Desarrollo del nuevo módulo de Restituciones Voluntarias, este módulo permite reorganizar la información de cada restitución evitando la redundancia de datos;  así mismo, este desarrollo permite registrar y editar las  restituciones mediante trámites optimizados que incluyen la actividad de control de calidad. 
2). Desarrollo de un nuevo modelo de tablas de base de datos.
3). Generación de  nuevos formularios de edición y consulta.</t>
  </si>
  <si>
    <t>Informe de Desarrollo de Restituciones Voluntarias SIDEP.
Informe de Pruebas Restituciones Voluntarias SIDEP.
Acta de Despliegue Productivo de Restituciones Voluntarias SIDEP.</t>
  </si>
  <si>
    <t>No se reporta avance de la meta dado que no se tiene la medición del Índice de Transparencia de Bogotá ITB por parte de la Veeduría Distrital y Transparencia por Colombia.</t>
  </si>
  <si>
    <t>El avance durante el II trimestre de 2023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conllevan a la determinación de acciones de diseño de la estrategia transitoria que articule las regulaciones de reactivación económica. 
En este sentido durante los meses de abril, mayo y junio  se realizaron 16 reuniones, las cuales se relacionan y explicitan en el documento de soporte adjunto.</t>
  </si>
  <si>
    <t>Soportes de Reuniones y Mesas de Trabajo</t>
  </si>
  <si>
    <t>Informe de avance de la Estrategia (soporte de reuniones y mesas de trabajo)</t>
  </si>
  <si>
    <t>Informe de hitos de la política</t>
  </si>
  <si>
    <t>Se avanzó en los siguientes hitos de la política pública de espacio público:
Hitos 1 y 6:  Para el avance de este hito se desarrolló los avances de investigación de las siguientes investigaciones: a) Espacio Público con enfoque de mujer y género, b) Investigación indicador Estructura Ecológica Principal y c) Investigación de Espacio Público Inteligente
Hito 2: No se ha requerido en el periodo activar la CIEP, sin embargo, si se llevará a cabo allí la socialización del avance del nuevo plan de acción de la Política Pública de Espacio Público una vez recolectada la información del primer y segundo trimestre de implementación y ajustes de armonización al plan de acción en el tercer trimestre del año 2023.   
Hito 3 y 4: Para el desarrollo e implementación de la herramienta de seguimiento y evaluación cuantitativa y cualitativa de la PPDEP, se inició la implementación del nuevo plan de acción de la PPDEP a partir del primer trimestre de 2023, dado que la aprobación de la modificación al plan de acción de la PPDEP se aprobó en sesión CONPES en diciembre del año 2022. En tal sentido, se presentó de manera oportuna el seguimiento con corte al primer trimestre de 2023 del plan de acción de la PPDEP a la Secretaría Distrital de Planeación de acuerdo con los procedimientos establecidos para ello. Por su parte, actualmente el DADEP está surtiendo las gestiones de acopió, revisión, retoalimentación y consolidación correspondiente al seguimiento de este plan de acción con corte a 30 de junio de 2023.
Hito 5: Se realizó la solicitud de la información requerida a las entidades del Distrito para la actualización de la batería de indicadores en el año 2023 en formato datashape para su procesamiento espacial, una vez recibidas se ha ido procesando la información correspondiente.
Hito 7: Se realizó la solicitud de reporte del II Trimestre de 2023 y se adelantó la armonización entre el plan original y el nuevo plan de acción de la PDEP en compañía de la SDP. Esta armonización debe presentarse en el CONPES del tercer trimestre.</t>
  </si>
  <si>
    <t>Matriz de caracterización de actores y grupos de valor DADEP</t>
  </si>
  <si>
    <t>Acta de Indicadores Mujer
Indicador Estructura Ecológica
EP inteligente
Reporte Indicadores EP</t>
  </si>
  <si>
    <t>Informe de desarrollo SIDEP - Generador de reportes 2023.    
Informe de Pruebas Reporteador - SIDEP.           
Despliegue Reporteador - SIDEP</t>
  </si>
  <si>
    <t>Informe Publicaciones Transparencia
Consolidado Número de Impactos y Seguidores 2023
Control de Piezas Audiovisuales 2023
Cronograma Actividades OAC-IDPAC 2020-2024
Monitoreo de Medios OAC 2023
Publicaciones Transparencia - GLPI
Reporte DC Radio</t>
  </si>
  <si>
    <t>Convocatoria a sesión de socialización y asistencia técnica Todas las localidades
Actas CIP - CLIP
Red del cuidado Ciudadano</t>
  </si>
  <si>
    <t>Instrucciones Creación unidades locales de innovación 
Actas redInnova
Notas de prensa y registro fotográfico - Embajadores
Notas de prensa y registro fotográfico - Hackatón
Preparación de lanzamiento política Pública de discpacidad
Revisión de prototipos
Evento "Café a Ciegas"
Guía Laboratorios Cívicos
Registro fotográfico ECOSfest
Seminario de Experiencias Transformadoras</t>
  </si>
  <si>
    <t xml:space="preserve">Caja de herramientas - Actividades Mayo
Ganadores Chikaná 2023 - PARTICILAB
Desarrollo del Democracy fest 2 (Edición 2023).
Estructura paper_ Metodología de los Laboratorios de Innovación Ciudadana </t>
  </si>
  <si>
    <t>Indicador_observatorio participacion_junio</t>
  </si>
  <si>
    <t>Portal de datos abiertos del distrito - https://datosabiertos.bogota.gov.co/organization/secretaria-distrital-de-gobierno
Informe de avance</t>
  </si>
  <si>
    <t>GLPI - Soporte Orfeo
Asistencia Capacitación Mesa de Ayuda
Presentación Votec - Datos Tecnología
Elaborar el módulo de Inspección, Vigilancia y Control en la plataforma de la Participación</t>
  </si>
  <si>
    <t xml:space="preserve">Causas Ciudadanas:
Documento evaluativo de Causas Ciudadanas.
Matriz de seguimiento a implementación de las iniciativas elegidas en  Causas Ciudadanas 2022.
Presupuestos Participativos: 
Circular Conjunta 007 de 2023
Ruta metodológica de Laboratorios Cívicos. 
Captura de pantalla de casos HOLA para las modificaciones a la plataforma. </t>
  </si>
  <si>
    <t>Reporte cuantitativo de Procesos de formacion abril - junio 2023</t>
  </si>
  <si>
    <t>Planes de Fortalecimiento
Evaluación
Formación</t>
  </si>
  <si>
    <t>Asistetencias Técnicas
Caracterizaciones
Consejos Juveniles 2023</t>
  </si>
  <si>
    <t>Indicador Medios Comunitarios</t>
  </si>
  <si>
    <t>Listado propuestas seleccionadas 2023
Soportes fase pre contractual
Iniciativas Juveniles 2023</t>
  </si>
  <si>
    <t>Acciones de Fortalecimiento a instancias
Incentivos ETB y JC
Indicador Propiedad Horizontal - 7685
Indicador Medios Comunitarios</t>
  </si>
  <si>
    <t>Protocolos de entrega
Matriz de Seguimiento logros OSP
Seguimiento Documentos  JAC Ganadoras 2023
Matriz Calendario y Matrices Entregas
Actas resultado convocatorias</t>
  </si>
  <si>
    <t>Sistematización Estrategia innovadora 
Inventario Repositorio IDPAC
Acta de reunión picnic de la participación casa cultural ruta del paladar
Recorrido tenderos
Semillero niños y niñas sistematizacion
Actividad picnic y cierre de donaton sede IDPAC
Acta de reunión semillero de promoción de la participación</t>
  </si>
  <si>
    <t>Informe ejecutivo Pactos
Actas de reunión</t>
  </si>
  <si>
    <t>Remisión reporte consolidado I Trimestre 2023 a la SDP.
Versión de matriz de plan de acción armonizada.</t>
  </si>
  <si>
    <t xml:space="preserve">Correo remisorio de Resultados Vigencia 2022.
Corrreo remisorio reporte consolidado I Trimestre 2023 a la Secretaría Distrital de Planeación y remisión de subsanación de inconsistencias en matriz de plan de acción. </t>
  </si>
  <si>
    <t>28 de julio de 2023</t>
  </si>
  <si>
    <t>Se consolida el seguimiento al Plan Estratégico Sectorial correspondiente al segundo trimestre de 2023</t>
  </si>
  <si>
    <t>30 de septiembre de 2023</t>
  </si>
  <si>
    <t>Acta de Asistencias Técnicas a Alcaldías Locales
Reunión de seguimiento del Comité Técnico de la CGPP
Acta CIP
Informe de redes sociales</t>
  </si>
  <si>
    <t>Se avanzó en la implementación de la estrategia mediante la realización de actividades relacionadas con la emisión de programas de DCTV y DCRADIO, así como el diseño y publicación de piezas gráficas y audiovisuales. Se realizó la difusión, promoción y acompañamiento a las actividades, proyectos estratégicos e hitos, en las redes sociales.</t>
  </si>
  <si>
    <t>Se han realizado 3 sesiones ordinarias de la Comisión Intersectorial de Participación. Así mismo, se han implementado los planes de asesoría y acompañamiento a varias localidades del Distrito. Adicionalmente, el IDPAC ha realizado asesoría a las entidades del Distrito en otras dos sesiones extraordinarias de la CIP.</t>
  </si>
  <si>
    <t>Se han adelantado acciones de innovación del conocimiento y prototipado con la participación de diferentes actores sociales (academia, estudiantes de colegios, entre otros).</t>
  </si>
  <si>
    <t>Laboratorio de innovación (LABIC)
Estructura paper_ Metodología de los Laboratorios de Innovación Ciudadana 
Caja de herramientas</t>
  </si>
  <si>
    <t>El Observatorio avanzó en el documento sobre "Contiendas políticas, agendas y repertorios en Bogotá (1991-2023)". Adicionalmente, se trabajó en la elaboración de un informe acerca de las protestas sociales en Bogotá durante los años 2019, 2020 y 2021 con el fin de analizar los datos provenientes de Twitter. Así mismo, se dio continuidad a la construcción de la base de repertorios de protesta, completando la columna de "Sector" y se ajusta la comuna "Repertorios" para agrupar la información de manera que facilite su visualización. Finalmente, se continuó con la construcción del repositorio digital en la herramienta gratuita "Notion".</t>
  </si>
  <si>
    <t>Reporte de los indicadores internos IDPAC que soportan la meta</t>
  </si>
  <si>
    <t>No programada para la vigencia, finalizada por cumplimiento de meta en 2022.</t>
  </si>
  <si>
    <t>No aplica</t>
  </si>
  <si>
    <t>Reporte cuantitativo de Procesos de formacion julio - septiembre 2023</t>
  </si>
  <si>
    <t>Asistencia técnica al Consejo Local de Juventud de la localidad de Santa Fe.
Caracterización al Consejo Local de Juventud de la localidad de Engativá.
Plan de Fortalecimiento CLJ Engativá</t>
  </si>
  <si>
    <t>Se formaron 4.944 ciudadanos en las modalidades presencial, virtual y virtual asistida, los cuales se encuentran programados de acuerdo al plan de formación de la Escuela de la Participación.</t>
  </si>
  <si>
    <t>Se avanzó en la ruta de fortaleciminto de instancias étnicas y en los procesos de concertación de acciones afirmativas.</t>
  </si>
  <si>
    <t>Se desarrollaron acciones con los Consejos Locales, a través del acompañamiento en la aplicación del Índice de Fortalecimiento, la formulación de Planes de Acción y asistencias técnicas, de acuerdo a las necesidades propias de cada Consejo.</t>
  </si>
  <si>
    <t>Caracterizaciones
Planes de Fortalecimiento
asistencias técnicas
certificados de formación
actas de entrega
Evaluaciones</t>
  </si>
  <si>
    <t>En el marco de la convocatoria "Jóvenes con Iniciativas 2023 - Fondo Chikaná", se avanzó en la fase precontractual en lo referente al estudio de mercado para la adquisición de elementos tecnológicos. El día 9 de junio, se publicaron en el micro sitio Fondo Chikaná - Jóvenes con Iniciativas, los resultados de las 30 iniciativas ganadoras a financiar, que corresponden a 21 organizaciones sociales juveniles y 9 organizaciones juveniles de víctimas o defensoras de los derechos de las víctimas</t>
  </si>
  <si>
    <t>Listado propuestas seleccionadas 2023
Orden de compra 114707
Iniciativas Juveniles 2023</t>
  </si>
  <si>
    <t>Respecto a los 55 medios comunitarios y alternativos fortalecidos, se desarrolló la fase de convocatoria. Actualmente, se encuentra en etapa de evaluación y selección de iniciativas. En relación con las 209 organizaciones sociales fortalecidas, se ha continuado con la implementación de las fases del modelo de fortalecimiento a Organizaciones Sociales.
En la ruta de fortalecimiento para organizaciones comunales de primer y segundo grado, se han entregado incentivos a 186 organizaciones instalando puntos de coneción a internet, brindando asistencia técnica y vinculando a las organizaciones a procesos de formación, a partir del Plan de Acción y resultados del Índice de Caracterización. Así mismo, se realizó acompañamiento técnico a 1.124 organizaciones de propiedad horizontal, principalmente en las temáticas de las generalidades de la Ley 675/2001 y sobre el Sistema de Seguridad y Salud en el Trabajo.
Se avanzó en 74 acciones de fortalecimiento a instancias formales y no formales de participación, a las cuales se les ha aplicado el instrumento de caracterización, la elaboración del plan de fortalecimiento, la asesoría técnica y los procesos de formación, de acuerdo a las necesidades de cada instancia. Dentro de las necesidades identificadas en las instancias se destaca la de Formación, por lo que se enfatiza en la divulgación de los cursos ofrecidos por la Escuela de la Participación del IDPAC.</t>
  </si>
  <si>
    <t>En la estrategia de Obras con Saldo Pedagógico, se cuenta con un avance de 133 obras, según la metodología definida. Así mismo, se avanzó en las acciones de la fase de alistamiento de documentación para la suscripción de los convenios solidarios. Igualmente, se realizó el acompañamiento y asesoría a las Juntas de Acción Comunal para completar la documentación necesaria para la firma de los convenios solidarios.</t>
  </si>
  <si>
    <t>Hoja de Vida del Indicador Obras con Saldo Pedagógico
Minutas contractuales de los convenios solidarios suscritos hasta el momento de la fecha de corte
Seguimiento Documentos 60 JAC Ganadoras 2023</t>
  </si>
  <si>
    <t xml:space="preserve">Organización de Libros DONATON Picnic de la participacion Sikuwayra
Sistematización Estrategia innovadora
Acta de reunión cierre del semillero de promoción de la participación con niños y niñas de la ruralidad
Acta de reunión picnic de la participación en el CLOPS de infancia y adolescencia
</t>
  </si>
  <si>
    <t>En cuanto a la implementación de la estrategia de articulación territorial, de acuerdo a la programación, se realizó el seguimiento correspondiente a las acciones concertadas con los territorios. Se realizó socialización de la Política Pública de Participación Incidente, dirigida a la ciudadanía, funcionarios, contratistas a nivel local y distrital. Igualmente, se desarrollaron acciones de promoción de la participación, se cargó el documento de avance de la sistematización de experiencias y prácticas innovadoras de la participación para el repositorio de casa de experiencias y las ayudas con conforme a las acciones de la Red del Cuidado Ciudadano.</t>
  </si>
  <si>
    <t>A través de la gestión realizada a lo largo de la vigencia 2023 se ha concretado la firma de doce (12) pactos. Adicionalmente, con un avance del 80%, en la fase de "Cocreación", se encuentran 4 (cuatro) pactos y con un avance del 50%, en fase de "Conocer y Comprender" se encuentran 2 (dos) pactos. Dentro de las problemáticas se destacan las de manejo de residuos, tenencia de mascotas, habitabilidad en calle y consumo de spa.</t>
  </si>
  <si>
    <t>Meta_07_Documentos_unificados_avance_meta</t>
  </si>
  <si>
    <t>Para el tercer trimestre describen los siguientes avances:
- Se realizó la socialización internacional de los avances del Observatorio de Espacio Público  en el “IV CONGRESO INTERNACIONAL SOBRE CIUDADANÍA, ESPACIO PÚBLICO Y TERRITORIO” en Río de Janeiro, Brasil.
- Se realizó el encuentro con la Prefeitura de Río de Janeiro para articulación técnica e invitación a la Red de Ciudades.
- Se realizó el Foro sobre "Espacio Público Inteligente" en la Universidad La Gran Colombia.
- Se realizó la edición y la publicaciónn de las MEMORIAS DEL SEMINARIO INTERNACIONAL DE ESPACIO PÚBLICO: MEDIR SU CALIDAD.
- Organización e invitación al Foro sobre Espacio Público Inteligente para el mes de agosto.</t>
  </si>
  <si>
    <t>Meta_12_Documentos_unificados_avance_meta</t>
  </si>
  <si>
    <t>Se realizaron las siguientes publicaciones durante el tercer trimestre de 2023:
- Publicación del primer encuentro de Observatorios del Sector Gobierno - DADEP
- Comunicado Foro ciudades inteligentes.
- Banner mes del espacio público Universidad La Gran Colombia.
- Pieza mes del espacio público Universidad La Gran Colombia.
- Comunicado Calidad del Aire.
- Banner Primera infancia y calidad del aire.
- Pieza publicitaria primera infancia y calidad del aire.</t>
  </si>
  <si>
    <t>Durante el tercer trimestre de la vigencia 2023, se finalizó el desarrollo del módulo de Hechos Notorios de SIDEP, incluyendo su trámite respectivo, de acuerdo al levantamiento de requerimientos realizado con el Área de Defensa Administrativa de la Subdirección de Gestión Inmobiliaria. Se realizó el desarrollo y modificación del código fuente del sistema SIDEP, almacenando los cambios en el repositorio GIT de la Oficina de las TecnologIas de la Información y Comunicación - OTIC; así mismo, se realizó la instalación del módulo en el ambiente de pruebas de aceptación para ser probado tanto por el área de pruebas técnicas de la OTIC, como por los lideres responsables del área misional de la Subdirección.  Finalmente , se elaboraron los informes y actas pactadas relacionadas al desarrollo del sistema.</t>
  </si>
  <si>
    <t>Informe de desarrollo de hechos notorios</t>
  </si>
  <si>
    <t>Meta cumplida en el año 2022</t>
  </si>
  <si>
    <t>El avance durante el III trimestre de 2023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conllevan a la determinación de acciones de diseño de la estrategia transitoria que articule las regulaciones de reactivación económica. 
En este sentido durante los meses de julio, agosto y septiembre se realizaron 17 reuniones, las cuales se relacionan y explicitan en el documento de soporte adjunto.</t>
  </si>
  <si>
    <t>Meta_29_Informe_de_avance_de_la_estrategia</t>
  </si>
  <si>
    <t>Meta_30_Cronograma_hitos_2023</t>
  </si>
  <si>
    <t>Se presentó el avance del tercer trimestre de los siguientes hitos de la política pública de espacio público:
Hitos 1 y 6:  Para el avance de este hito se desarrolló los avances de investigación de las siguientes investigaciones: 
1. Investigación de Espacio Público con enfoque de mujer y género: Se consolidó la versión 7 de la batería de indicadores y los instrumentos de recolección de información, la cual fue presentada para revisión al equipo Directivo del DADEP, sugiriendo mejoras para la versión 8, sobre la cual se desarrollará la toma de información del sistema de indicadores.
2. Investigación Indicador Estructura Ecológica Principal: Durante este periodo se realizó el análisis espacial del “indicador de espacio público natural y adaptado al cambio climático”. Así mismo se realizó la jerarquización de áreas arrojando como resultado de estos dos procesos que el indicador del “espacio público natural y adaptado al cambio climático” será indpendiente del de Estructura Ecológica Principal que se armoniza con los lineamientos del POT vigente.
3. Investigación de Espacio Público Inteligente: Se adelantó la definición de los elementos a tener en cuenta para la construcción de una propuesta de indicador, de igual forma se cerró el proceso de marco teórico y se adelantó conjuntamente con el Laboratorio de Innovación el proceso de levantamiento en calle de la información para la etapa final de la investigación en 2023.
Hito 2: Se desarrolló presentación en sesión de la CIEP el día 29 de septiembre de 2023 para presentar ajustes técnicos del plan de acción de la Política Pública de Espacio Público, siendo aprobados por unanimidad por los miembros del comite.
Hito 3 y 4: Se consolidó el seguimiento de la PDEP del segundo trimestre en los instrumentos orientados por la Secretaría Distrital de Planeación.
Hito 5: Se realizó la solicitud a entidades y repositorio de información para análisis de datos espaciales de las entidades del Distrito para la actualización periódica de la batería de indicadores de Espacio Público, así como su armonización con el POT vigente.
Hito 7: Se realizó y presentó el balance de seguimiento de la Política Pública de Espacio Público a la SDP consolidado durante el segundo trimestre.</t>
  </si>
  <si>
    <t>Formato de seguimiento a productos II Trimestre 2023 consolidado y remitido a la SDP.
Formato de seguimiento de resultados 2020- 2022 consolidado y remitido a la SDP.
Retroalimentación de informe cualitativo vigencia 2022 consolidado por la SDP.
Informe cualitativo vigencia 2022 Publicado en sitio web de la SDP.
Plan de accion ajustado de acuerdo con proceso de armonización.</t>
  </si>
  <si>
    <t>POLÍTICA PÚBLICA INTEGRAL DE DERECHOS HUMANOS
Durante el III Trimestre se adelantaron las siguientes gestiones:
En Julio: se realizó solicitud a las 18 entidades con compromiso en la PPIDDHH, se continúo utilizando la metodologia de reporte en línea con adecuada respuesta por todas las entidades y se remitió reporte consolidado a la Oficina Asesora de Planeación. Adicionalmente, atendiendo el requerimiento de la SDP, se adelantó el proceso de armonización del plan de acción ajustado con la finalidad de incorporar los ajustes aprobados en el 2021 y en el 2022.
En Agosto: se trabajó en la subsanación de los reportes solicitados por la OAP y por la SDP, estos tuvieron como objetivo afinar la calidad del reporte en cuanto a avance cuantitativo y avance cualitativo según periodicidad de medición y completitud de los reportes de acuerdo con la implementación de enfoques.
En Septiembre:  Se avanzó en el análisis y reporte de resultados de esta Política. Es importante mencionar que con ocasión del proceso de ajustes adelantado durante las vigencias 2020-2022 no había sido posible avanzar al respecto, de manera que se retomó el ejercicio. No obstante, es necesario mencionar que se identificó que las fuentes de información de algunos indicadores de resultados sufrieron cambios o se dejaron de producir, lo cual requirió iniciar la búsqueda de otras fuentes que pudiesen homologar la información y así poder analizar los posibles ajustes que se deberán presentar ante la SDP.  Adicional a lo anterior, durante este trimestre se puede destacar la revisión y ajustes al informe de seguimiento cualitativo para la vigencia 2022 de la PPIDDHH. Producto de esta revisión fue posible subsanar reportes no solamente de la vigencia 2022 sino de vigencias anteriores contribuyendo positivamente en la calidad de la información de la Política.</t>
  </si>
  <si>
    <t>Formato de seguimiento a productos consolidada y remitida a la SDP.
Formato de seguimiento de resultados consolidado y remitido a la SDP.
Retroalimentación de informe cualitativo vigencia 2022 consolidado por la SDP.
Informe cualitativo vigencia 2022 Publicado en sitio web de la SDP.
Plan de acción ajustado según inconsistencias.</t>
  </si>
  <si>
    <t xml:space="preserve">POLÍTICA PÚBLICA PARA LA LUCHA CONTRA LA TRATA DE PERSONAS
Durante el III Trimestre se adelantaron las siguientes gestiones:
En Julio: se realizó solicitud a las 13 entidades con compromiso en la PPLTP, se continúo utilizando la metodologia de reporte en línea con adecuada respuesta por todas las entidades y se remitió reporte consolidado a la Oficina Asesora de Planeación.
En Agosto: se adelantó el proceso de subsanación y la versión consolidada y validada por la OAP de la Secretaría Distrital de Gobierno, fue remitida a la Secretaría Distrital de Planeación. Adicionalmente, de acuerdo con solicitud de la SDP, relacionada con inconsistencias técnicas entre el plan de acción y las fichas de producto se adelantó proceso de subsanación el cual permitió actualizar el plan de acción para publicación en sitio web de la SDP.
En Septiembre: tuvo lugar la Sesión CONPES No. 4 de 2022 y en el punto de seguimiento a politicas públicas adoptadas, se presentó que, de acuerdo con los informes de seguimiento consolidados por la Dirección de Derechos Humanos, y los emitidos por la Secretaría Distrital de Planeación, con corte al 30 de junio de 2023, se cuenta con un avance acumulado de la Política del 52.31%. Entendiendo que la trayectoria ideal de implementación debería ser de 50.48 % de avance, actualmente tiene una brecha positiva de 1,8%. </t>
  </si>
  <si>
    <t>Gestión usuario plataforma sello excelencia</t>
  </si>
  <si>
    <t>La actividades realizadas en pro de dar cumplimiento al Plan Estratégico Sectorial - PES, fue la gestionar con los profesionales encargados del MINTIC la creación del usuario para postular los set de datos de identificados en el catalogo de componentes de información para el sello de excelencia .
Por cambio en los lineamientos para otorgar el sello de excelencia este usuario se creo a finales del trimestre pero no con el perfilamiento necesario para la publicación de los set de datos de la entidad.
Como evidencia se presentan los correos electrónicos con la gestión realizada por  la Dirección de TI.</t>
  </si>
  <si>
    <t xml:space="preserve">Se enviaron lineamientos a las entidades del Sector Gobierno para la preparación de los informes de empalme, de acuerdo con los lineamientos de la Circular 001 de 2023 de la Alcaldía Mayor. </t>
  </si>
  <si>
    <t>Presentacion lineamientos empalme</t>
  </si>
  <si>
    <t>57,06%
 corte a 30 de junio de 2023. (según datos a 27 de septiembre de 2023).</t>
  </si>
  <si>
    <t>Libro de seguimiento EXCEL IGPL 2023
Documento IGPL 2023 word y PDF.
Correo solicitud MUSI II trimestre de 2023
Correos electronicos solicitando los insumos para medir los indicadores de atencion a la ciudadanía.
Insumos PAC programado y ejecutado en los FDL descargados en archivo Excel de la Pagina de la Secretaria Distrital de Hacienda para el II Y III trimestre de 2023.</t>
  </si>
  <si>
    <t>Durante el tercer  trimestre de 2023, se programó la presentacion del informe de  avance cuantitativo del segundo trimestre del IGPL 2023, puesto que los insumos y datos necesarios para hacer posible este informe de avance del corte a 30 de junio de 2023, se consolidaran en el mes de septiembre de 2023 de acuerdo, con los tiempos de respuesta y entrega de los insumos MUSI (Matriz Unificada de Seguimiento a la Inversión) por parte de la Secretaría Distrital de Planeación, entidad competente en la realización del seguimiento de los planes de desarrollo locales a fin de calcular el indicador PEFM local que hace parte del indicador global IGPL, así mismo, el reporte del Plan Anual de Pagos de Caja (PAC) programado para la vigencia 2023 de manera mensual por parte de cada una de las alcaldias locales que reporta la Secretaría Distrital de Hacienda. Sin embargo, para los resultados de la gestión local correspondiente a los meses de abril, mayo y junio de 2023 se consolidó el reporte de los nueve (9) indicadores que componen el Indice de Gestión Pública Local - IGPL con corte al 30 de  junio del 2023.</t>
  </si>
  <si>
    <t xml:space="preserve">70,57%
</t>
  </si>
  <si>
    <t xml:space="preserve">N/A
</t>
  </si>
  <si>
    <t>Durante el tercer trimestre, se avanzó en la elaboración del documento de análisis, con un énfasis en los capítulos sobre actores políticos, gestión territorial y proyectos de acuerdo. Se llevaron a cabo reuniones clave con equipos relevantes y se realizó un estudio cuantitativo para evaluar el cumplimiento de acuerdos. Además, se contribuyó en informes de inversión y se inició la redacción de las conclusiones y recomendaciones estratégicas para el análisis en curso.</t>
  </si>
  <si>
    <t>Documento Informe</t>
  </si>
  <si>
    <t>La Dirección de Convivencia y Diálogo Social, a través del Observatorio de Conflictividad Social y Derechos Humanos, en su proceso de implementación, captura de información y seguimiento a las situaciones que generan conflictividad social en la ciudad, durante el 01 de julio y 30 de septiembre de 2023, desarrolló treinta y dos (32) informes en materia de conflictividad social, derechos humanos y gobernabilidad.  Los cuales le permitieron a la Secretaría de Gobierno conocer de primera mano los principales acontecimientos de la ciudad en relación a los problemas locales, movilizaciones sociales, asuntos públicos, y respaldar la toma de decisiones para mitigar dichas situaciones.</t>
  </si>
  <si>
    <t>(32) Informes de conflictividad social y derechos humanos</t>
  </si>
  <si>
    <t>1.  Documento Instrucciones para la Creación de unidades locales de innovación
2. Instrucciones Caja de Herramientas de Innovación 
3. 7 actas de la mesa de la RedInnova consolidadas en 1 pdf. 
4. Registro fotográfico Embajadores Digitales 
5. Registro fotográfico Localidad Digital 
6. Registro fotográfico Lanzamiento PP Discapacidad 
7. Guia Laboratorios Cívicos
8. Registro fotográfico ECOSfest
9. Registro fotográfico Hub de Innovación Ambiental</t>
  </si>
  <si>
    <t>1. Se construyó el "Instructivo de Laboratorios", el "Formato de Seguimiento de las Acciones de las Unidades de Innovación" y el "Instructivo de Facilitación de la Caja de Herramientas" en su versión definitiva. Los  instructivos diseñados brindan orientaciones para el uso de herramientas de innovación que tienen como fin combinar la creatividad y la colaboración de los servidores públicos de la entidad. 
2. En el marco de la RED INNOVA  se realizaron (7)  encuentros para fortalecer las capacidades de las Alcaldías, se logró el desarrollo de los hitos de innovación que los referentes locales lideran desde sus respectivas alcaldías y la identidad visual de su unidad de innovación.
3. En la iniciativa TIC LOCAL- "Embajadores Digitales" en las localidades de Rafael Uribe Uribe y Bosa se beneficiaron un total de 259 personas mayores, quienes se capacitaron en la Gestión Local a través del uso de las TIC, graduándose  120 personas del diplomado.
En el componente de "Localidad Digital" se visitaron las 20 localidades con la iniciativa Hackatón, con esta iniciativa, se beneficieron 555 jóvenes que participaron activamente en la formulación de aproximadamente 200 propuestas destinadas a impulsar el cambio en sus respectivas localidades.
4. En  LabIncluyéndonos, se diseñó y concertó la estrategia de socialización de la política pública de discapacidad, con la participación de más de 500 personas  para garantizar los derechos y la inclusión social de las cerca de 245.000 personas que forman parte de esta población en la capital del país, así como a sus familias, cuidadoras y cuidadores.
5. En la línea LABORATORIOS CÍVICOS, se concluyó exitosamente la segunda edición de la guía de laboratorios cívicos en el contexto de los presupuestos participativos del año 2023. 
6. En relación al estrategia de "Cohesión Social" Se han realizado mas de 10 ECOSFest en donde se generaron actividades para transformar imaginarios y comportamientos discriminatorios en la comunidad, 
7. HUB DE INNOVACIÓN AMBIENTAL: Se visitaron las localidades de Suba, Ciudad Bolívar y Los Mártires, donde se llevó a cabo un proceso de caracterización que ha involucrado a un total de 300 personas, logrando resignificar espacios, lo que a su vez ha permitido a los habitantes de estas áreas construir lazos más sólidos y empáticos dentro de su comunidad.</t>
  </si>
  <si>
    <t xml:space="preserve">Causas Ciudadanas:
1. Cuadro de seguimiento a implementación de las iniciativas elegidas en Causas Ciudadanas 2022.
Presupuestos Participativos: 
2. Presentación resultados de la Fase 2 de los Presupuestos Participativos para la vigencia 2022. 
3. Circular Cionjunta 007 de 2023 de SDG - Ruta  metodológica de implementación de los Presupuestos Participativos Fase 2 vigencia 2023
4. Propuestas registradas fase 2 </t>
  </si>
  <si>
    <t xml:space="preserve">Causas Ciudadanas: 
Durante el tercer trimestre, fueron tres (3) las iniciativas ganadoras de Causas Ciudadanas 2022 implementadas en su totalidad: 1) Preicfes gratuito, ii) Suba de antaño se toma Bogotá y iii) Bachillerato para personas de edad. A la fecha, restan dos (2) iniciativas que se vienen realizando sin novedades: i) video para concientizar del acoso a la comunidad LGBTIQ y ii) capacitación en deberes y derechos en la vía para cuidar la vida. Estas propuestas, según lo estipulado en el cronograma, culminarán en el cuatro trimestre del año. 
Presupuestos Participativos: 
A corte de septiembre, y en el marco de las disposiciones de la Circular Conjunta 007 que reglamenta la ruta metodológica para la implementación de los Presupuestos Participativos, se ha desarrollado la totalidad de la fase de Elaboración y Registro de Propuestas y su posterior cargue en el marco del módulo de presupuestos participativos de la plataforma de participación del Gobierno Abierto de Bogotá, la cual permite la estandarización de la información de las propuestas y facilita la implementación de la revisión por parte de los sectores/entidades competentes.  
</t>
  </si>
  <si>
    <t xml:space="preserve">Meta cumplida en la vigencia 2022
</t>
  </si>
  <si>
    <t xml:space="preserve">Actualmente, en el marco de la implementación de la estrategia de Fortalecimiento a Medios Comunicación Comunitaria y Alternativa, a corte de 30 de septiembre se han realizado 140 caracterizaciones, 101 planes de fortalecimiento, 57 asistencias técnicas, 19 procesos de formación, 10 entregas de incentivos y 10 procesos de evaluación al modelo de fortalecimiento. Con ésto, se ha logrado avanzar en un 39% la meta del indicador. Actualmente, las organizaciones de medios se encuentran proceso de convocatoria, específicamente en la etapa de evaluación y selección de iniciativas, según el calendario establecido en los términos de referencia. Se espera para cuarto trimestre finalizar las etapas restantes de la convocatoria y completar así la meta del indicador. Así mismo, cumplida la meta para la vigencia 2023, el avance acumulado del indicador sería del 82% para el total del PDD, lo que resultaría según la programación establecida en SEGPLAN. </t>
  </si>
  <si>
    <t xml:space="preserve">Durante el tercer trimestre se presentaron avances en el cuadro de clasificación documental - TRD actualizando las series y subseries correspondientes a ocho (8) fichas de la nuevas series y subseries, correspondientes a: 1) Dirección General del IDPAC, 2) Secretaría General - Gestión Contractual, 3) Secretaría General - Gestión de Bienes, Servicios e Infraestructura. Igualmente, se realizó una (1) capacitación y tres (3) jornadas de socialización de tips para la prevención de conflicto de interés al interior de la entidad. Por otra parte, se realizaron 565 respuestas a requerimientos de soporte técnico a todas las dependencias de la entidad, mediante el uso de la herramiento informática GLPI, en temas de Comunicación Estratégica (publicaciones link de transparencia), Gestión de Tecnologías de la Información (creación de usuarios, copias de seguridad y soporte funcional), Gestión de Talento Humano (carnetización y certificaciones) y Gestión de Bienes, Servicios e Infraestructura. Así mismo, se adelantaron tres  (3) jornadas de capacitación en el uso y apropiación de la herramienta GLPI y se realizaron mejoras al módulo de Inspección, Vigilancia y Control en la plataforma de la Participación. </t>
  </si>
  <si>
    <t>De acuerdo con la Circular Externa No. 100-003-2023, el Departamento Administrativo de la Función Pública - DAFP estableció los Lineamientos para el registro de información a través del Formulario Único de Reporte y Avance de Gestión - FURAG vigencia 2022 y el cronograma de actividades para la medición del Índice de Desempeño Institucional. Dicho cronograma establece que los resultados del FURAG 2022 se tendrán al final de la vigencia 2023, por lo tanto, aún no se cuenta con los resultados del IDI para las entidades del Sector Gobierno.   Por otra parte, para el caso del IDPAC, en el marco del Comité Institucional de Gestión y Desempeño del 7 de julio, se aprobó la resolución 313 de 2023," por la cual se adopta el Modelo Integrado de Planeación y Gestión MIPG", en éste se define el objeto, objetivos del modelo, dimensiones, adopción de las políticas de gestión y desempeño institucional y sus líderes,  rol de líderes de políticas institucionales, responsables del desarrollo, implementación , seguimiento, control y mejora del Modelo Integrado de Planeación y Gestión, se establece la herramienta oficial para el procesameinto de información y responsabilidades de reporte, medición de la gestión y desempeño institucional, enlaces de los procesos y dependencias, articulación del Sistema de Control Interno al Modelo, Roles del esquema de líneas de defensa en el IDPAC con el fin de garantizar la ejecución de las actividades y el cumplimiento de los objetivos, metas y políticas a través de evidencias objetivas. Por otra parte, se avanza en la implementación de las hojas de vida de los indicadores del Plan de Desarrollo que permitieron la medición de los avances institucionales, el seguimiento oportuno al cumplimiento de metas y la generación de alertas para mejorar el desempeño. Igualmente, se establecieron diferentes mecanismos para evaluar la percepción de los grupos de valor en pro del mejoramiento continuo en la prestación de los servicios y trámites de la entidad, así como el desarrollo de diferentes espacios de diálogo con la ciudadanía en doble vía.</t>
  </si>
  <si>
    <t>Se consolida el seguimiento al Plan Estratégico Sectorial correspondiente al tercer trimestre de 2023</t>
  </si>
  <si>
    <t>Se realizó el diligenciamiento del Índice de Transparencia por Bogotá con la oportunidad requierda, recibiendo la calificación preliminar del 75,5% para IDPAC, 67,6% para DADEP y 65,8% para la SDG, posicionando al Sector Gobierno en un nivel de riesgo moderado. El Sector está realizando el proceso de replica frente al resultado preliminar obtenido para que este refleje los avances que se tienen en materia de transparencia en las tres entidades.</t>
  </si>
  <si>
    <t>Ficha de resultados preliminares 2022-2023</t>
  </si>
  <si>
    <r>
      <t xml:space="preserve">Objetivo Estratégico 1. </t>
    </r>
    <r>
      <rPr>
        <sz val="12"/>
        <color indexed="8"/>
        <rFont val="Calibri"/>
        <family val="2"/>
      </rPr>
      <t>Realizar acciones enfocadas al fortalecimiento de la gobernabilidad democrática local</t>
    </r>
  </si>
  <si>
    <r>
      <rPr>
        <b/>
        <sz val="12"/>
        <color indexed="8"/>
        <rFont val="Calibri"/>
        <family val="2"/>
      </rPr>
      <t xml:space="preserve"> Objetivo Estratégico 2.</t>
    </r>
    <r>
      <rPr>
        <sz val="12"/>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</si>
  <si>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r>
      <rPr>
        <b/>
        <sz val="12"/>
        <color indexed="8"/>
        <rFont val="Calibri"/>
        <family val="2"/>
      </rPr>
      <t>Objetivo Estratégico 3.</t>
    </r>
    <r>
      <rPr>
        <sz val="12"/>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</si>
  <si>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rFont val="Calibri"/>
        <family val="2"/>
      </rPr>
      <t>Objetivo Estratégico 3.</t>
    </r>
    <r>
      <rPr>
        <sz val="12"/>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</si>
  <si>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color indexed="8"/>
        <rFont val="Calibri"/>
        <family val="2"/>
      </rPr>
      <t>Objetivo Estratégico 4</t>
    </r>
    <r>
      <rPr>
        <sz val="12"/>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</si>
  <si>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r>
      <rPr>
        <b/>
        <sz val="12"/>
        <color indexed="8"/>
        <rFont val="Calibri"/>
        <family val="2"/>
      </rPr>
      <t xml:space="preserve">Objetivo Estratégico 5. </t>
    </r>
    <r>
      <rPr>
        <sz val="12"/>
        <color indexed="8"/>
        <rFont val="Calibri"/>
        <family val="2"/>
      </rPr>
      <t xml:space="preserve"> Crear e implementar una estrategia de articulación sectorial e intersectorial que permita el logro de la misionalidad del sector. </t>
    </r>
  </si>
  <si>
    <t xml:space="preserve">Número de herramientas tecnológicas interoperables / número de herramientas programadas por el IDPAC X 100 </t>
  </si>
  <si>
    <t>23 de octubre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</si>
</sst>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_ ;\-#,##0\ "/>
  </numFmts>
  <fonts count="5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2"/>
      <name val="Calibri"/>
      <family val="2"/>
    </font>
    <font>
      <sz val="12"/>
      <color indexed="81"/>
      <name val="Tahoma"/>
      <family val="2"/>
    </font>
    <font>
      <b/>
      <sz val="12"/>
      <color indexed="81"/>
      <name val="Tahoma"/>
      <family val="2"/>
    </font>
    <font>
      <b/>
      <sz val="9"/>
      <color indexed="81"/>
      <name val="Tahoma"/>
      <family val="2"/>
    </font>
    <font>
      <sz val="20"/>
      <name val="Calibri"/>
      <family val="2"/>
    </font>
    <font>
      <sz val="12"/>
      <color theme="1"/>
      <name val="Calibri"/>
      <family val="2"/>
      <scheme val="minor"/>
    </font>
    <font>
      <sz val="12"/>
      <color rgb="FF00610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2"/>
      <color rgb="FFFF0000"/>
      <name val="Calibri"/>
      <family val="2"/>
    </font>
    <font>
      <sz val="22"/>
      <color theme="1"/>
      <name val="Calibri"/>
      <family val="2"/>
    </font>
    <font>
      <b/>
      <sz val="48"/>
      <name val="Calibri"/>
      <family val="2"/>
      <scheme val="minor"/>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
      <sz val="12"/>
      <color rgb="FF000000"/>
      <name val="Calibri"/>
      <family val="2"/>
    </font>
    <font>
      <b/>
      <sz val="12"/>
      <name val="Calibri"/>
      <family val="2"/>
    </font>
    <font>
      <b/>
      <sz val="14"/>
      <color rgb="FFC00000"/>
      <name val="Calibri"/>
      <family val="2"/>
    </font>
    <font>
      <sz val="12"/>
      <color indexed="8"/>
      <name val="Calibri"/>
      <family val="2"/>
    </font>
    <font>
      <b/>
      <sz val="12"/>
      <color indexed="8"/>
      <name val="Calibri"/>
      <family val="2"/>
    </font>
    <font>
      <b/>
      <sz val="12"/>
      <color theme="1"/>
      <name val="Calibri"/>
      <family val="2"/>
    </font>
    <font>
      <sz val="12"/>
      <color rgb="FF00B0F0"/>
      <name val="Calibri"/>
      <family val="2"/>
    </font>
    <font>
      <sz val="12"/>
      <color rgb="FF00000A"/>
      <name val="Calibri"/>
      <family val="2"/>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0">
    <xf numFmtId="0" fontId="0" fillId="0" borderId="0"/>
    <xf numFmtId="0" fontId="21" fillId="3" borderId="0" applyNumberFormat="0" applyBorder="0" applyAlignment="0" applyProtection="0"/>
    <xf numFmtId="0" fontId="22" fillId="4" borderId="32"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5" borderId="0" applyNumberFormat="0" applyBorder="0" applyAlignment="0" applyProtection="0"/>
    <xf numFmtId="43" fontId="20" fillId="0" borderId="0" applyFont="0" applyFill="0" applyBorder="0" applyAlignment="0" applyProtection="0"/>
    <xf numFmtId="0" fontId="8" fillId="0" borderId="0"/>
    <xf numFmtId="0" fontId="20" fillId="0" borderId="0"/>
    <xf numFmtId="9" fontId="20" fillId="0" borderId="0" applyFont="0" applyFill="0" applyBorder="0" applyAlignment="0" applyProtection="0"/>
  </cellStyleXfs>
  <cellXfs count="452">
    <xf numFmtId="0" fontId="0" fillId="0" borderId="0" xfId="0"/>
    <xf numFmtId="0" fontId="25" fillId="6" borderId="0" xfId="0" applyFont="1" applyFill="1" applyAlignment="1" applyProtection="1">
      <alignment vertical="center"/>
      <protection hidden="1"/>
    </xf>
    <xf numFmtId="0" fontId="26" fillId="6" borderId="0" xfId="0" applyFont="1" applyFill="1" applyAlignment="1" applyProtection="1">
      <alignment horizontal="center" vertical="center"/>
      <protection hidden="1"/>
    </xf>
    <xf numFmtId="0" fontId="27" fillId="0" borderId="0" xfId="0" applyFont="1" applyAlignment="1" applyProtection="1">
      <alignment vertical="center"/>
      <protection hidden="1"/>
    </xf>
    <xf numFmtId="0" fontId="9" fillId="0" borderId="0" xfId="0" applyFont="1" applyAlignment="1" applyProtection="1">
      <alignment horizontal="center"/>
      <protection hidden="1"/>
    </xf>
    <xf numFmtId="0" fontId="26" fillId="6" borderId="0" xfId="0" applyFont="1" applyFill="1" applyAlignment="1" applyProtection="1">
      <alignment vertical="center"/>
      <protection hidden="1"/>
    </xf>
    <xf numFmtId="14" fontId="9" fillId="0" borderId="0" xfId="0" applyNumberFormat="1" applyFont="1" applyAlignment="1" applyProtection="1">
      <alignment horizontal="center"/>
      <protection hidden="1"/>
    </xf>
    <xf numFmtId="0" fontId="10" fillId="2" borderId="0" xfId="0" applyFont="1" applyFill="1" applyAlignment="1" applyProtection="1">
      <alignment horizontal="center" vertical="center" wrapText="1"/>
      <protection hidden="1"/>
    </xf>
    <xf numFmtId="0" fontId="11" fillId="2" borderId="0" xfId="7" applyFont="1" applyFill="1" applyAlignment="1" applyProtection="1">
      <alignment horizontal="center" vertical="center" wrapText="1"/>
      <protection hidden="1"/>
    </xf>
    <xf numFmtId="0" fontId="12" fillId="0" borderId="0" xfId="0" applyFont="1" applyAlignment="1" applyProtection="1">
      <alignment horizontal="right"/>
      <protection hidden="1"/>
    </xf>
    <xf numFmtId="0" fontId="28" fillId="6" borderId="0" xfId="0" applyFont="1" applyFill="1" applyAlignment="1" applyProtection="1">
      <alignment horizontal="center" vertical="center"/>
      <protection hidden="1"/>
    </xf>
    <xf numFmtId="0" fontId="29" fillId="0" borderId="0" xfId="0" applyFont="1" applyAlignment="1" applyProtection="1">
      <alignment horizontal="center" vertical="center" wrapText="1"/>
      <protection hidden="1"/>
    </xf>
    <xf numFmtId="0" fontId="30" fillId="6" borderId="0" xfId="0" applyFont="1" applyFill="1" applyAlignment="1" applyProtection="1">
      <alignment horizontal="center" vertical="center"/>
      <protection hidden="1"/>
    </xf>
    <xf numFmtId="0" fontId="29" fillId="0" borderId="0" xfId="0" applyFont="1" applyAlignment="1" applyProtection="1">
      <alignment horizontal="justify" vertical="center" wrapText="1"/>
      <protection hidden="1"/>
    </xf>
    <xf numFmtId="0" fontId="28" fillId="6" borderId="0" xfId="0" applyFont="1" applyFill="1" applyAlignment="1" applyProtection="1">
      <alignment horizontal="justify" vertical="center"/>
      <protection hidden="1"/>
    </xf>
    <xf numFmtId="0" fontId="29" fillId="0" borderId="0" xfId="0" applyFont="1" applyAlignment="1" applyProtection="1">
      <alignment horizontal="left" vertical="center" wrapText="1"/>
      <protection hidden="1"/>
    </xf>
    <xf numFmtId="0" fontId="31" fillId="6" borderId="0" xfId="0" applyFont="1" applyFill="1" applyAlignment="1" applyProtection="1">
      <alignment horizontal="justify" vertical="center"/>
      <protection hidden="1"/>
    </xf>
    <xf numFmtId="0" fontId="31" fillId="6" borderId="0" xfId="0" applyFont="1" applyFill="1" applyAlignment="1" applyProtection="1">
      <alignment horizontal="center" vertical="center"/>
      <protection hidden="1"/>
    </xf>
    <xf numFmtId="1" fontId="29" fillId="0" borderId="0" xfId="9" applyNumberFormat="1" applyFont="1" applyFill="1" applyBorder="1" applyAlignment="1" applyProtection="1">
      <alignment horizontal="center" vertical="center" wrapText="1"/>
      <protection hidden="1"/>
    </xf>
    <xf numFmtId="0" fontId="29" fillId="0" borderId="0" xfId="0" applyFont="1" applyAlignment="1" applyProtection="1">
      <alignment horizontal="center" vertical="center"/>
      <protection hidden="1"/>
    </xf>
    <xf numFmtId="0" fontId="29" fillId="6" borderId="0" xfId="0" applyFont="1" applyFill="1" applyAlignment="1" applyProtection="1">
      <alignment horizontal="justify" vertical="center" wrapText="1"/>
      <protection hidden="1"/>
    </xf>
    <xf numFmtId="0" fontId="29" fillId="6" borderId="0" xfId="0" applyFont="1" applyFill="1" applyAlignment="1" applyProtection="1">
      <alignment horizontal="center" vertical="center" wrapText="1"/>
      <protection hidden="1"/>
    </xf>
    <xf numFmtId="0" fontId="34" fillId="0" borderId="0" xfId="0" applyFont="1" applyAlignment="1" applyProtection="1">
      <alignment horizontal="center" vertical="center"/>
      <protection hidden="1"/>
    </xf>
    <xf numFmtId="0" fontId="34" fillId="0" borderId="0" xfId="0" applyFont="1" applyAlignment="1" applyProtection="1">
      <alignment vertical="center"/>
      <protection hidden="1"/>
    </xf>
    <xf numFmtId="0" fontId="35" fillId="0" borderId="0" xfId="0" applyFont="1" applyAlignment="1" applyProtection="1">
      <alignmen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0" fontId="36" fillId="0" borderId="0" xfId="0" applyFont="1" applyAlignment="1" applyProtection="1">
      <alignment horizontal="center" vertical="center" wrapText="1"/>
      <protection hidden="1"/>
    </xf>
    <xf numFmtId="0" fontId="37" fillId="0" borderId="0" xfId="0" applyFont="1" applyAlignment="1" applyProtection="1">
      <alignment horizontal="center" vertical="center" wrapText="1"/>
      <protection hidden="1"/>
    </xf>
    <xf numFmtId="0" fontId="40" fillId="0" borderId="0" xfId="0" applyFont="1" applyAlignment="1" applyProtection="1">
      <alignment horizontal="left" vertical="center" wrapText="1"/>
      <protection hidden="1"/>
    </xf>
    <xf numFmtId="9" fontId="29" fillId="0" borderId="0" xfId="0" applyNumberFormat="1" applyFont="1" applyAlignment="1" applyProtection="1">
      <alignment horizontal="left" vertical="center" wrapText="1"/>
      <protection hidden="1"/>
    </xf>
    <xf numFmtId="1" fontId="29" fillId="0" borderId="0" xfId="0" applyNumberFormat="1" applyFont="1" applyAlignment="1" applyProtection="1">
      <alignment horizontal="center" vertical="center" wrapText="1"/>
      <protection hidden="1"/>
    </xf>
    <xf numFmtId="0" fontId="38" fillId="7" borderId="10" xfId="0" applyFont="1" applyFill="1" applyBorder="1" applyAlignment="1" applyProtection="1">
      <alignment horizontal="center" vertical="center"/>
      <protection hidden="1"/>
    </xf>
    <xf numFmtId="0" fontId="38" fillId="7" borderId="4" xfId="0" applyFont="1" applyFill="1" applyBorder="1" applyAlignment="1" applyProtection="1">
      <alignment horizontal="center" vertical="center"/>
      <protection hidden="1"/>
    </xf>
    <xf numFmtId="0" fontId="9" fillId="6" borderId="0" xfId="0" applyFont="1" applyFill="1" applyAlignment="1" applyProtection="1">
      <alignment horizontal="center" vertical="center"/>
      <protection hidden="1"/>
    </xf>
    <xf numFmtId="14" fontId="9" fillId="6" borderId="0" xfId="0" applyNumberFormat="1" applyFont="1" applyFill="1" applyAlignment="1" applyProtection="1">
      <alignment horizontal="center" vertical="center"/>
      <protection hidden="1"/>
    </xf>
    <xf numFmtId="0" fontId="10" fillId="6" borderId="0" xfId="0" applyFont="1" applyFill="1" applyAlignment="1" applyProtection="1">
      <alignment horizontal="center" vertical="center" wrapText="1"/>
      <protection hidden="1"/>
    </xf>
    <xf numFmtId="0" fontId="41" fillId="6" borderId="0" xfId="0" applyFont="1" applyFill="1" applyAlignment="1" applyProtection="1">
      <alignment horizontal="center" vertical="center" wrapText="1"/>
      <protection hidden="1"/>
    </xf>
    <xf numFmtId="0" fontId="34" fillId="6" borderId="0" xfId="0" applyFont="1" applyFill="1" applyAlignment="1" applyProtection="1">
      <alignment horizontal="center" vertical="center"/>
      <protection hidden="1"/>
    </xf>
    <xf numFmtId="0" fontId="25" fillId="6" borderId="0" xfId="0" applyFont="1" applyFill="1" applyAlignment="1" applyProtection="1">
      <alignment horizontal="center" vertical="center"/>
      <protection hidden="1"/>
    </xf>
    <xf numFmtId="1" fontId="38" fillId="7" borderId="18" xfId="9" applyNumberFormat="1" applyFont="1" applyFill="1" applyBorder="1" applyAlignment="1" applyProtection="1">
      <alignment horizontal="center" vertical="center" wrapText="1"/>
      <protection hidden="1"/>
    </xf>
    <xf numFmtId="0" fontId="38" fillId="7" borderId="17" xfId="0" applyFont="1" applyFill="1" applyBorder="1" applyAlignment="1" applyProtection="1">
      <alignment horizontal="center" vertical="center" wrapText="1"/>
      <protection hidden="1"/>
    </xf>
    <xf numFmtId="0" fontId="38" fillId="7" borderId="19" xfId="0" applyFont="1" applyFill="1" applyBorder="1" applyAlignment="1" applyProtection="1">
      <alignment horizontal="center" vertical="center" wrapText="1"/>
      <protection hidden="1"/>
    </xf>
    <xf numFmtId="1" fontId="38" fillId="7" borderId="20" xfId="9" applyNumberFormat="1" applyFont="1" applyFill="1" applyBorder="1" applyAlignment="1" applyProtection="1">
      <alignment horizontal="center" vertical="center" wrapText="1"/>
      <protection hidden="1"/>
    </xf>
    <xf numFmtId="2" fontId="29" fillId="6" borderId="0" xfId="0" applyNumberFormat="1" applyFont="1" applyFill="1" applyAlignment="1" applyProtection="1">
      <alignment horizontal="center" vertical="center" wrapText="1"/>
      <protection hidden="1"/>
    </xf>
    <xf numFmtId="0" fontId="38" fillId="7" borderId="13" xfId="0" applyFont="1" applyFill="1" applyBorder="1" applyAlignment="1" applyProtection="1">
      <alignment horizontal="center" vertical="center" wrapText="1"/>
      <protection hidden="1"/>
    </xf>
    <xf numFmtId="0" fontId="33" fillId="7" borderId="1"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wrapText="1"/>
      <protection hidden="1"/>
    </xf>
    <xf numFmtId="0" fontId="42" fillId="6" borderId="0" xfId="0" applyFont="1" applyFill="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19" fillId="0" borderId="0" xfId="0" applyFont="1" applyAlignment="1" applyProtection="1">
      <alignment horizontal="center" vertical="center"/>
      <protection hidden="1"/>
    </xf>
    <xf numFmtId="166" fontId="15" fillId="0" borderId="0" xfId="0" applyNumberFormat="1" applyFont="1" applyAlignment="1" applyProtection="1">
      <alignment horizontal="center" vertical="center" wrapText="1"/>
      <protection hidden="1"/>
    </xf>
    <xf numFmtId="0" fontId="7" fillId="6" borderId="0" xfId="0" applyFont="1" applyFill="1" applyAlignment="1" applyProtection="1">
      <alignment horizontal="center" vertical="center"/>
      <protection hidden="1"/>
    </xf>
    <xf numFmtId="0" fontId="7" fillId="0" borderId="0" xfId="0" applyFont="1" applyAlignment="1" applyProtection="1">
      <alignment vertical="center"/>
      <protection hidden="1"/>
    </xf>
    <xf numFmtId="3" fontId="15" fillId="0" borderId="0" xfId="0" applyNumberFormat="1" applyFont="1" applyAlignment="1" applyProtection="1">
      <alignment horizontal="center" vertical="center" wrapText="1"/>
      <protection hidden="1"/>
    </xf>
    <xf numFmtId="2" fontId="49" fillId="0" borderId="9" xfId="0" applyNumberFormat="1"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hidden="1"/>
    </xf>
    <xf numFmtId="0" fontId="49" fillId="0" borderId="9" xfId="0" applyFont="1" applyBorder="1" applyAlignment="1">
      <alignment horizontal="center" vertical="center" wrapText="1"/>
    </xf>
    <xf numFmtId="0" fontId="29" fillId="0" borderId="1" xfId="0" applyFont="1" applyBorder="1" applyAlignment="1" applyProtection="1">
      <alignment horizontal="justify" vertical="center" wrapText="1"/>
      <protection hidden="1"/>
    </xf>
    <xf numFmtId="0" fontId="49" fillId="0" borderId="3" xfId="0" applyFont="1" applyBorder="1" applyAlignment="1">
      <alignment horizontal="justify" vertical="center" wrapText="1"/>
    </xf>
    <xf numFmtId="0" fontId="25" fillId="6" borderId="11" xfId="0" applyFont="1" applyFill="1" applyBorder="1" applyAlignment="1" applyProtection="1">
      <alignment vertical="top"/>
      <protection hidden="1"/>
    </xf>
    <xf numFmtId="0" fontId="30" fillId="6" borderId="0" xfId="0" applyFont="1" applyFill="1" applyAlignment="1" applyProtection="1">
      <alignment horizontal="center" vertical="top"/>
      <protection hidden="1"/>
    </xf>
    <xf numFmtId="0" fontId="32" fillId="0" borderId="0" xfId="0" applyFont="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29" fillId="0" borderId="0" xfId="0" applyFont="1" applyAlignment="1" applyProtection="1">
      <alignment horizontal="left" vertical="top" wrapText="1"/>
      <protection hidden="1"/>
    </xf>
    <xf numFmtId="2" fontId="49" fillId="0" borderId="1" xfId="0" applyNumberFormat="1" applyFont="1" applyBorder="1" applyAlignment="1">
      <alignment horizontal="center" vertical="center" wrapText="1"/>
    </xf>
    <xf numFmtId="9" fontId="49" fillId="0" borderId="1" xfId="0" applyNumberFormat="1" applyFont="1" applyBorder="1" applyAlignment="1">
      <alignment horizontal="center" vertical="center" wrapText="1"/>
    </xf>
    <xf numFmtId="0" fontId="49" fillId="0" borderId="1" xfId="0" applyFont="1" applyBorder="1" applyAlignment="1">
      <alignment vertical="top" wrapText="1"/>
    </xf>
    <xf numFmtId="0" fontId="49" fillId="0" borderId="1" xfId="0" applyFont="1" applyBorder="1" applyAlignment="1">
      <alignment horizontal="center" vertical="center" wrapText="1"/>
    </xf>
    <xf numFmtId="0" fontId="49" fillId="0" borderId="1" xfId="0" applyFont="1" applyBorder="1" applyAlignment="1">
      <alignment wrapText="1"/>
    </xf>
    <xf numFmtId="0" fontId="29" fillId="0" borderId="3" xfId="0" applyFont="1" applyBorder="1" applyAlignment="1" applyProtection="1">
      <alignment horizontal="justify" vertical="center" wrapText="1"/>
      <protection hidden="1"/>
    </xf>
    <xf numFmtId="0" fontId="49" fillId="0" borderId="3" xfId="0" applyFont="1" applyBorder="1" applyAlignment="1">
      <alignment vertical="center" wrapText="1"/>
    </xf>
    <xf numFmtId="0" fontId="49" fillId="0" borderId="16" xfId="0" applyFont="1" applyBorder="1" applyAlignment="1">
      <alignment vertical="center" wrapText="1"/>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29" fillId="0" borderId="7" xfId="0" applyFont="1" applyBorder="1" applyAlignment="1" applyProtection="1">
      <alignment horizontal="justify" vertical="center" wrapText="1"/>
      <protection locked="0"/>
    </xf>
    <xf numFmtId="0" fontId="15" fillId="0" borderId="21" xfId="0" applyFont="1" applyBorder="1" applyAlignment="1" applyProtection="1">
      <alignment horizontal="justify" vertical="center" wrapText="1"/>
      <protection locked="0"/>
    </xf>
    <xf numFmtId="0" fontId="15" fillId="0" borderId="7" xfId="0" applyFont="1" applyBorder="1" applyAlignment="1" applyProtection="1">
      <alignment horizontal="justify" vertical="center" wrapText="1"/>
      <protection locked="0"/>
    </xf>
    <xf numFmtId="0" fontId="15" fillId="0" borderId="8" xfId="0" applyFont="1" applyBorder="1" applyAlignment="1" applyProtection="1">
      <alignment horizontal="left" vertical="center" wrapText="1"/>
      <protection locked="0"/>
    </xf>
    <xf numFmtId="2" fontId="15" fillId="0" borderId="9" xfId="0" applyNumberFormat="1" applyFont="1" applyBorder="1" applyAlignment="1" applyProtection="1">
      <alignment horizontal="center" vertical="center" wrapText="1"/>
      <protection locked="0"/>
    </xf>
    <xf numFmtId="2" fontId="15" fillId="0" borderId="1" xfId="0" applyNumberFormat="1" applyFont="1" applyBorder="1" applyAlignment="1" applyProtection="1">
      <alignment horizontal="center" vertical="center" wrapText="1"/>
      <protection locked="0"/>
    </xf>
    <xf numFmtId="9" fontId="15"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justify" vertical="center" wrapText="1"/>
      <protection locked="0"/>
    </xf>
    <xf numFmtId="0" fontId="15" fillId="0" borderId="16"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wrapText="1"/>
      <protection locked="0"/>
    </xf>
    <xf numFmtId="9" fontId="15" fillId="0" borderId="9" xfId="0" applyNumberFormat="1"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9" fillId="0" borderId="1" xfId="0" applyFont="1" applyBorder="1" applyAlignment="1" applyProtection="1">
      <alignment horizontal="justify" vertical="center" wrapText="1"/>
      <protection locked="0"/>
    </xf>
    <xf numFmtId="0" fontId="29" fillId="0" borderId="16" xfId="0" applyFont="1" applyBorder="1" applyAlignment="1" applyProtection="1">
      <alignment horizontal="justify" vertical="center" wrapText="1"/>
      <protection locked="0"/>
    </xf>
    <xf numFmtId="0" fontId="29" fillId="0" borderId="3" xfId="0" applyFont="1" applyBorder="1" applyAlignment="1" applyProtection="1">
      <alignment horizontal="left" vertical="center" wrapText="1"/>
      <protection locked="0"/>
    </xf>
    <xf numFmtId="2" fontId="15" fillId="0" borderId="9" xfId="9" applyNumberFormat="1" applyFont="1" applyFill="1" applyBorder="1" applyAlignment="1" applyProtection="1">
      <alignment horizontal="center" vertical="center" wrapText="1"/>
      <protection locked="0"/>
    </xf>
    <xf numFmtId="0" fontId="15" fillId="0" borderId="3" xfId="3" applyFont="1" applyFill="1" applyBorder="1" applyAlignment="1">
      <alignment horizontal="left" vertical="center" wrapText="1"/>
    </xf>
    <xf numFmtId="0" fontId="15" fillId="0" borderId="9" xfId="5" applyFont="1" applyFill="1" applyBorder="1" applyAlignment="1" applyProtection="1">
      <alignment horizontal="center" vertical="center" wrapText="1"/>
      <protection locked="0"/>
    </xf>
    <xf numFmtId="0" fontId="15" fillId="0" borderId="1" xfId="5" applyFont="1" applyFill="1" applyBorder="1" applyAlignment="1" applyProtection="1">
      <alignment horizontal="center" vertical="center" wrapText="1"/>
      <protection locked="0"/>
    </xf>
    <xf numFmtId="9" fontId="15" fillId="0" borderId="1" xfId="5" applyNumberFormat="1" applyFont="1" applyFill="1" applyBorder="1" applyAlignment="1" applyProtection="1">
      <alignment horizontal="center" vertical="center" wrapText="1"/>
      <protection locked="0"/>
    </xf>
    <xf numFmtId="0" fontId="15" fillId="0" borderId="1" xfId="5" applyFont="1" applyFill="1" applyBorder="1" applyAlignment="1" applyProtection="1">
      <alignment horizontal="justify" vertical="center" wrapText="1"/>
      <protection locked="0"/>
    </xf>
    <xf numFmtId="0" fontId="15" fillId="0" borderId="16" xfId="5" applyFont="1" applyFill="1" applyBorder="1" applyAlignment="1" applyProtection="1">
      <alignment horizontal="justify" vertical="center" wrapText="1"/>
      <protection locked="0"/>
    </xf>
    <xf numFmtId="9" fontId="15" fillId="0" borderId="1" xfId="9" applyFont="1" applyFill="1" applyBorder="1" applyAlignment="1" applyProtection="1">
      <alignment horizontal="center" vertical="center" wrapText="1"/>
      <protection locked="0"/>
    </xf>
    <xf numFmtId="0" fontId="15" fillId="0" borderId="1" xfId="0" applyFont="1" applyBorder="1" applyAlignment="1" applyProtection="1">
      <alignment horizontal="justify" vertical="top" wrapText="1"/>
      <protection locked="0"/>
    </xf>
    <xf numFmtId="0" fontId="15" fillId="0" borderId="3" xfId="0" applyFont="1" applyBorder="1" applyAlignment="1" applyProtection="1">
      <alignment horizontal="left" vertical="center" wrapText="1"/>
      <protection locked="0"/>
    </xf>
    <xf numFmtId="1" fontId="15" fillId="0" borderId="9" xfId="0" applyNumberFormat="1" applyFont="1" applyBorder="1" applyAlignment="1" applyProtection="1">
      <alignment horizontal="center" vertical="center" wrapText="1"/>
      <protection locked="0"/>
    </xf>
    <xf numFmtId="1" fontId="15" fillId="0" borderId="1" xfId="0" applyNumberFormat="1" applyFont="1" applyBorder="1" applyAlignment="1" applyProtection="1">
      <alignment horizontal="center" vertical="center" wrapText="1"/>
      <protection locked="0"/>
    </xf>
    <xf numFmtId="9" fontId="15" fillId="0" borderId="9" xfId="9" applyFont="1" applyFill="1" applyBorder="1" applyAlignment="1" applyProtection="1">
      <alignment horizontal="center" vertical="center" wrapText="1"/>
      <protection locked="0"/>
    </xf>
    <xf numFmtId="0" fontId="29" fillId="0" borderId="3" xfId="0" applyFont="1" applyBorder="1" applyAlignment="1">
      <alignment horizontal="justify" vertical="center" wrapText="1"/>
    </xf>
    <xf numFmtId="0" fontId="15" fillId="0" borderId="1" xfId="0" applyFont="1" applyBorder="1" applyAlignment="1" applyProtection="1">
      <alignment horizontal="left" vertical="center" wrapText="1"/>
      <protection locked="0"/>
    </xf>
    <xf numFmtId="0" fontId="29" fillId="0" borderId="16" xfId="0" applyFont="1" applyBorder="1" applyAlignment="1" applyProtection="1">
      <alignment horizontal="left" vertical="center" wrapText="1"/>
      <protection hidden="1"/>
    </xf>
    <xf numFmtId="0" fontId="29" fillId="0" borderId="3" xfId="0" applyFont="1" applyBorder="1" applyAlignment="1" applyProtection="1">
      <alignment horizontal="left" vertical="center" wrapText="1"/>
      <protection hidden="1"/>
    </xf>
    <xf numFmtId="3" fontId="15" fillId="0" borderId="9" xfId="6" applyNumberFormat="1" applyFont="1" applyFill="1" applyBorder="1" applyAlignment="1" applyProtection="1">
      <alignment horizontal="center" vertical="center" wrapText="1"/>
      <protection locked="0"/>
    </xf>
    <xf numFmtId="167" fontId="15" fillId="0" borderId="1" xfId="6" applyNumberFormat="1" applyFont="1" applyBorder="1" applyAlignment="1" applyProtection="1">
      <alignment horizontal="center" vertical="center" wrapText="1"/>
      <protection locked="0"/>
    </xf>
    <xf numFmtId="9" fontId="15" fillId="0" borderId="1" xfId="9" applyFont="1" applyBorder="1" applyAlignment="1" applyProtection="1">
      <alignment horizontal="center" vertical="center" wrapText="1"/>
      <protection locked="0"/>
    </xf>
    <xf numFmtId="0" fontId="29" fillId="0" borderId="3" xfId="0" quotePrefix="1" applyFont="1" applyBorder="1" applyAlignment="1">
      <alignment horizontal="justify" vertical="center" wrapText="1"/>
    </xf>
    <xf numFmtId="0" fontId="29" fillId="0" borderId="3" xfId="0" applyFont="1" applyBorder="1" applyAlignment="1">
      <alignment horizontal="left" vertical="center" wrapText="1"/>
    </xf>
    <xf numFmtId="0" fontId="15" fillId="0" borderId="16" xfId="0" applyFont="1" applyBorder="1" applyAlignment="1" applyProtection="1">
      <alignment horizontal="left" vertical="center" wrapText="1"/>
      <protection locked="0"/>
    </xf>
    <xf numFmtId="9" fontId="15" fillId="0" borderId="9" xfId="9" applyFont="1" applyBorder="1" applyAlignment="1" applyProtection="1">
      <alignment horizontal="center" vertical="center" wrapText="1"/>
      <protection locked="0"/>
    </xf>
    <xf numFmtId="9" fontId="15" fillId="0" borderId="1" xfId="8" applyNumberFormat="1" applyFont="1" applyBorder="1" applyAlignment="1" applyProtection="1">
      <alignment horizontal="center" vertical="center" wrapText="1"/>
      <protection locked="0"/>
    </xf>
    <xf numFmtId="0" fontId="29" fillId="0" borderId="9" xfId="0" applyFont="1" applyBorder="1" applyAlignment="1" applyProtection="1">
      <alignment horizontal="center" vertical="center"/>
      <protection locked="0" hidden="1"/>
    </xf>
    <xf numFmtId="0" fontId="29" fillId="0" borderId="1" xfId="0" applyFont="1" applyBorder="1" applyAlignment="1" applyProtection="1">
      <alignment horizontal="center" vertical="center"/>
      <protection locked="0" hidden="1"/>
    </xf>
    <xf numFmtId="0" fontId="15" fillId="0" borderId="10"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9" fontId="15" fillId="0" borderId="4" xfId="0" applyNumberFormat="1" applyFont="1" applyBorder="1" applyAlignment="1" applyProtection="1">
      <alignment horizontal="center" vertical="center" wrapText="1"/>
      <protection locked="0"/>
    </xf>
    <xf numFmtId="0" fontId="15" fillId="0" borderId="4" xfId="0" applyFont="1" applyBorder="1" applyAlignment="1" applyProtection="1">
      <alignment horizontal="justify" vertical="center" wrapText="1"/>
      <protection locked="0"/>
    </xf>
    <xf numFmtId="0" fontId="15" fillId="0" borderId="13"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29" fillId="0" borderId="0" xfId="0" applyFont="1" applyAlignment="1">
      <alignment horizontal="center" vertical="center" wrapText="1"/>
    </xf>
    <xf numFmtId="3" fontId="29" fillId="0" borderId="0" xfId="0" applyNumberFormat="1" applyFont="1" applyAlignment="1">
      <alignment horizontal="center" vertical="center" wrapText="1"/>
    </xf>
    <xf numFmtId="0" fontId="15" fillId="6" borderId="0" xfId="0" applyFont="1" applyFill="1" applyAlignment="1" applyProtection="1">
      <alignment horizontal="center" vertical="center"/>
      <protection hidden="1"/>
    </xf>
    <xf numFmtId="0" fontId="15" fillId="6" borderId="0" xfId="0" applyFont="1" applyFill="1" applyAlignment="1" applyProtection="1">
      <alignment horizontal="justify" vertical="center"/>
      <protection hidden="1"/>
    </xf>
    <xf numFmtId="0" fontId="50" fillId="6" borderId="0" xfId="0" applyFont="1" applyFill="1" applyAlignment="1" applyProtection="1">
      <alignment horizontal="center" vertical="center"/>
      <protection hidden="1"/>
    </xf>
    <xf numFmtId="0" fontId="50" fillId="6" borderId="0" xfId="0" applyFont="1" applyFill="1" applyAlignment="1" applyProtection="1">
      <alignment horizontal="justify" vertical="center"/>
      <protection hidden="1"/>
    </xf>
    <xf numFmtId="0" fontId="15" fillId="6" borderId="16" xfId="0" applyFont="1" applyFill="1" applyBorder="1" applyAlignment="1" applyProtection="1">
      <alignment horizontal="justify" vertical="center" wrapText="1"/>
      <protection locked="0"/>
    </xf>
    <xf numFmtId="0" fontId="15" fillId="6" borderId="9"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justify" vertical="center" wrapText="1"/>
      <protection locked="0"/>
    </xf>
    <xf numFmtId="0" fontId="15" fillId="0" borderId="3" xfId="0" applyFont="1" applyBorder="1" applyAlignment="1" applyProtection="1">
      <alignment vertical="center" wrapText="1"/>
      <protection locked="0"/>
    </xf>
    <xf numFmtId="0" fontId="9" fillId="2" borderId="0" xfId="7" applyFont="1" applyFill="1" applyAlignment="1" applyProtection="1">
      <alignment horizontal="left" vertical="center" wrapText="1"/>
      <protection hidden="1"/>
    </xf>
    <xf numFmtId="0" fontId="9" fillId="0" borderId="0" xfId="0" applyFont="1" applyAlignment="1" applyProtection="1">
      <alignment horizontal="left" vertical="center"/>
      <protection hidden="1"/>
    </xf>
    <xf numFmtId="14" fontId="9" fillId="0" borderId="0" xfId="0" applyNumberFormat="1" applyFont="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1" fontId="7" fillId="0" borderId="1" xfId="0" applyNumberFormat="1" applyFont="1" applyBorder="1" applyAlignment="1" applyProtection="1">
      <alignment horizontal="center" vertical="center"/>
      <protection hidden="1"/>
    </xf>
    <xf numFmtId="14" fontId="4" fillId="0" borderId="1" xfId="0" applyNumberFormat="1" applyFont="1" applyBorder="1" applyAlignment="1" applyProtection="1">
      <alignment horizontal="center" vertical="center"/>
      <protection hidden="1"/>
    </xf>
    <xf numFmtId="0" fontId="15" fillId="0" borderId="2" xfId="0" applyFont="1" applyBorder="1" applyAlignment="1" applyProtection="1">
      <alignment horizontal="center" vertical="center" wrapText="1"/>
      <protection locked="0"/>
    </xf>
    <xf numFmtId="0" fontId="38" fillId="7" borderId="10" xfId="0" applyFont="1" applyFill="1" applyBorder="1" applyAlignment="1" applyProtection="1">
      <alignment horizontal="center" vertical="center" wrapText="1"/>
      <protection hidden="1"/>
    </xf>
    <xf numFmtId="0" fontId="38" fillId="7" borderId="4" xfId="0" applyFont="1" applyFill="1" applyBorder="1" applyAlignment="1" applyProtection="1">
      <alignment horizontal="center" vertical="center" wrapText="1"/>
      <protection hidden="1"/>
    </xf>
    <xf numFmtId="1" fontId="38" fillId="7" borderId="4" xfId="9" applyNumberFormat="1" applyFont="1" applyFill="1" applyBorder="1" applyAlignment="1" applyProtection="1">
      <alignment horizontal="center" vertical="center" wrapText="1"/>
      <protection hidden="1"/>
    </xf>
    <xf numFmtId="0" fontId="38" fillId="7" borderId="5" xfId="0" applyFont="1" applyFill="1" applyBorder="1" applyAlignment="1" applyProtection="1">
      <alignment horizontal="center" vertical="center" wrapText="1"/>
      <protection hidden="1"/>
    </xf>
    <xf numFmtId="0" fontId="38" fillId="7" borderId="12" xfId="0" applyFont="1" applyFill="1" applyBorder="1" applyAlignment="1" applyProtection="1">
      <alignment horizontal="center" vertical="center" wrapText="1"/>
      <protection hidden="1"/>
    </xf>
    <xf numFmtId="1" fontId="49" fillId="6" borderId="9" xfId="0" applyNumberFormat="1" applyFont="1" applyFill="1" applyBorder="1" applyAlignment="1" applyProtection="1">
      <alignment horizontal="center" vertical="center" wrapText="1"/>
      <protection hidden="1"/>
    </xf>
    <xf numFmtId="1" fontId="49" fillId="6" borderId="1" xfId="0" applyNumberFormat="1" applyFont="1" applyFill="1" applyBorder="1" applyAlignment="1" applyProtection="1">
      <alignment horizontal="center" vertical="center" wrapText="1"/>
      <protection hidden="1"/>
    </xf>
    <xf numFmtId="0" fontId="49" fillId="6" borderId="1" xfId="0" applyFont="1" applyFill="1" applyBorder="1" applyAlignment="1" applyProtection="1">
      <alignment horizontal="center" vertical="center" wrapText="1"/>
      <protection hidden="1"/>
    </xf>
    <xf numFmtId="0" fontId="15" fillId="6" borderId="1" xfId="0" applyFont="1" applyFill="1" applyBorder="1" applyAlignment="1" applyProtection="1">
      <alignment horizontal="justify" vertical="center" wrapText="1"/>
      <protection locked="0"/>
    </xf>
    <xf numFmtId="0" fontId="15" fillId="6" borderId="3" xfId="0" applyFont="1" applyFill="1" applyBorder="1" applyAlignment="1" applyProtection="1">
      <alignment horizontal="justify" vertical="center" wrapText="1"/>
      <protection locked="0"/>
    </xf>
    <xf numFmtId="0" fontId="40" fillId="6" borderId="0" xfId="0" applyFont="1" applyFill="1" applyAlignment="1" applyProtection="1">
      <alignment horizontal="left" vertical="center" wrapText="1"/>
      <protection hidden="1"/>
    </xf>
    <xf numFmtId="0" fontId="29" fillId="6" borderId="0" xfId="0" applyFont="1" applyFill="1" applyAlignment="1" applyProtection="1">
      <alignment horizontal="left" vertical="center" wrapText="1"/>
      <protection hidden="1"/>
    </xf>
    <xf numFmtId="0" fontId="38" fillId="7" borderId="22" xfId="0" applyFont="1" applyFill="1" applyBorder="1" applyAlignment="1" applyProtection="1">
      <alignment horizontal="center" vertical="center"/>
      <protection hidden="1"/>
    </xf>
    <xf numFmtId="0" fontId="38" fillId="7" borderId="23" xfId="0" applyFont="1" applyFill="1" applyBorder="1" applyAlignment="1" applyProtection="1">
      <alignment horizontal="center" vertical="center"/>
      <protection hidden="1"/>
    </xf>
    <xf numFmtId="0" fontId="38" fillId="7" borderId="24" xfId="0" applyFont="1" applyFill="1" applyBorder="1" applyAlignment="1" applyProtection="1">
      <alignment horizontal="center" vertical="center"/>
      <protection hidden="1"/>
    </xf>
    <xf numFmtId="0" fontId="43" fillId="6" borderId="18" xfId="0" applyFont="1" applyFill="1" applyBorder="1" applyAlignment="1" applyProtection="1">
      <alignment horizontal="center" vertical="center"/>
      <protection hidden="1"/>
    </xf>
    <xf numFmtId="0" fontId="43" fillId="6" borderId="17" xfId="0" applyFont="1" applyFill="1" applyBorder="1" applyAlignment="1" applyProtection="1">
      <alignment horizontal="center" vertical="center"/>
      <protection hidden="1"/>
    </xf>
    <xf numFmtId="0" fontId="43" fillId="6" borderId="23" xfId="0" applyFont="1" applyFill="1" applyBorder="1" applyAlignment="1" applyProtection="1">
      <alignment horizontal="center" vertical="center"/>
      <protection hidden="1"/>
    </xf>
    <xf numFmtId="0" fontId="44" fillId="7" borderId="17" xfId="0" applyFont="1" applyFill="1" applyBorder="1" applyAlignment="1" applyProtection="1">
      <alignment horizontal="center" vertical="center"/>
      <protection hidden="1"/>
    </xf>
    <xf numFmtId="0" fontId="43" fillId="7" borderId="17" xfId="0" applyFont="1" applyFill="1" applyBorder="1" applyAlignment="1" applyProtection="1">
      <alignment horizontal="center" vertical="center"/>
      <protection hidden="1"/>
    </xf>
    <xf numFmtId="0" fontId="43" fillId="7" borderId="19" xfId="0" applyFont="1" applyFill="1" applyBorder="1" applyAlignment="1" applyProtection="1">
      <alignment horizontal="center" vertical="center"/>
      <protection hidden="1"/>
    </xf>
    <xf numFmtId="0" fontId="43" fillId="7" borderId="25" xfId="0" applyFont="1" applyFill="1" applyBorder="1" applyAlignment="1" applyProtection="1">
      <alignment horizontal="center" vertical="center"/>
      <protection hidden="1"/>
    </xf>
    <xf numFmtId="0" fontId="43" fillId="7" borderId="26" xfId="0" applyFont="1" applyFill="1" applyBorder="1" applyAlignment="1" applyProtection="1">
      <alignment horizontal="center" vertical="center"/>
      <protection hidden="1"/>
    </xf>
    <xf numFmtId="0" fontId="43" fillId="6" borderId="26" xfId="0" applyFont="1" applyFill="1" applyBorder="1" applyAlignment="1" applyProtection="1">
      <alignment horizontal="center" vertical="center"/>
      <protection hidden="1"/>
    </xf>
    <xf numFmtId="0" fontId="45" fillId="7" borderId="27" xfId="0" applyFont="1" applyFill="1" applyBorder="1" applyAlignment="1" applyProtection="1">
      <alignment horizontal="center" vertical="center" wrapText="1"/>
      <protection hidden="1"/>
    </xf>
    <xf numFmtId="0" fontId="45" fillId="7" borderId="4" xfId="0" applyFont="1" applyFill="1" applyBorder="1" applyAlignment="1" applyProtection="1">
      <alignment horizontal="center" vertical="center" wrapText="1"/>
      <protection hidden="1"/>
    </xf>
    <xf numFmtId="0" fontId="45" fillId="7" borderId="28" xfId="0" applyFont="1" applyFill="1" applyBorder="1" applyAlignment="1" applyProtection="1">
      <alignment horizontal="center" vertical="top" wrapText="1"/>
      <protection hidden="1"/>
    </xf>
    <xf numFmtId="0" fontId="45" fillId="7" borderId="10" xfId="0" applyFont="1" applyFill="1" applyBorder="1" applyAlignment="1" applyProtection="1">
      <alignment horizontal="center" vertical="top" wrapText="1"/>
      <protection hidden="1"/>
    </xf>
    <xf numFmtId="0" fontId="51" fillId="7" borderId="28" xfId="0" applyFont="1" applyFill="1" applyBorder="1" applyAlignment="1" applyProtection="1">
      <alignment horizontal="center" vertical="center"/>
      <protection hidden="1"/>
    </xf>
    <xf numFmtId="0" fontId="51" fillId="7" borderId="27" xfId="0" applyFont="1" applyFill="1" applyBorder="1" applyAlignment="1" applyProtection="1">
      <alignment horizontal="center" vertical="center"/>
      <protection hidden="1"/>
    </xf>
    <xf numFmtId="0" fontId="51" fillId="7" borderId="29" xfId="0" applyFont="1" applyFill="1" applyBorder="1" applyAlignment="1" applyProtection="1">
      <alignment horizontal="center" vertical="center"/>
      <protection hidden="1"/>
    </xf>
    <xf numFmtId="0" fontId="51" fillId="7" borderId="9" xfId="0" applyFont="1" applyFill="1" applyBorder="1" applyAlignment="1" applyProtection="1">
      <alignment horizontal="center" vertical="center"/>
      <protection hidden="1"/>
    </xf>
    <xf numFmtId="0" fontId="51" fillId="7" borderId="1" xfId="0" applyFont="1" applyFill="1" applyBorder="1" applyAlignment="1" applyProtection="1">
      <alignment horizontal="center" vertical="center"/>
      <protection hidden="1"/>
    </xf>
    <xf numFmtId="0" fontId="51" fillId="7" borderId="3" xfId="0" applyFont="1" applyFill="1" applyBorder="1" applyAlignment="1" applyProtection="1">
      <alignment horizontal="center" vertical="center"/>
      <protection hidden="1"/>
    </xf>
    <xf numFmtId="0" fontId="38" fillId="7" borderId="28" xfId="0" applyFont="1" applyFill="1" applyBorder="1" applyAlignment="1" applyProtection="1">
      <alignment horizontal="center" vertical="center"/>
      <protection hidden="1"/>
    </xf>
    <xf numFmtId="0" fontId="38" fillId="7" borderId="27" xfId="0" applyFont="1" applyFill="1" applyBorder="1" applyAlignment="1" applyProtection="1">
      <alignment horizontal="center" vertical="center"/>
      <protection hidden="1"/>
    </xf>
    <xf numFmtId="0" fontId="38" fillId="6" borderId="31" xfId="0" applyFont="1" applyFill="1" applyBorder="1" applyAlignment="1" applyProtection="1">
      <alignment horizontal="center" vertical="center"/>
      <protection hidden="1"/>
    </xf>
    <xf numFmtId="0" fontId="38" fillId="7" borderId="30" xfId="0" applyFont="1" applyFill="1" applyBorder="1" applyAlignment="1" applyProtection="1">
      <alignment horizontal="center" vertical="center"/>
      <protection hidden="1"/>
    </xf>
    <xf numFmtId="0" fontId="43" fillId="7" borderId="33" xfId="0" applyFont="1" applyFill="1" applyBorder="1" applyAlignment="1" applyProtection="1">
      <alignment horizontal="center" vertical="center"/>
      <protection hidden="1"/>
    </xf>
    <xf numFmtId="0" fontId="43" fillId="7" borderId="27" xfId="0" applyFont="1" applyFill="1" applyBorder="1" applyAlignment="1" applyProtection="1">
      <alignment horizontal="center" vertical="center"/>
      <protection hidden="1"/>
    </xf>
    <xf numFmtId="0" fontId="43" fillId="7" borderId="29" xfId="0" applyFont="1" applyFill="1" applyBorder="1" applyAlignment="1" applyProtection="1">
      <alignment horizontal="center" vertical="center"/>
      <protection hidden="1"/>
    </xf>
    <xf numFmtId="0" fontId="43" fillId="7" borderId="2" xfId="0" applyFont="1" applyFill="1" applyBorder="1" applyAlignment="1" applyProtection="1">
      <alignment horizontal="center" vertical="center"/>
      <protection hidden="1"/>
    </xf>
    <xf numFmtId="0" fontId="43" fillId="7" borderId="1" xfId="0" applyFont="1" applyFill="1" applyBorder="1" applyAlignment="1" applyProtection="1">
      <alignment horizontal="center" vertical="center"/>
      <protection hidden="1"/>
    </xf>
    <xf numFmtId="0" fontId="43" fillId="7" borderId="3" xfId="0" applyFont="1" applyFill="1" applyBorder="1" applyAlignment="1" applyProtection="1">
      <alignment horizontal="center" vertical="center"/>
      <protection hidden="1"/>
    </xf>
    <xf numFmtId="0" fontId="30" fillId="7" borderId="1" xfId="0" applyFont="1" applyFill="1" applyBorder="1" applyAlignment="1" applyProtection="1">
      <alignment horizontal="center" vertical="center"/>
      <protection hidden="1"/>
    </xf>
    <xf numFmtId="0" fontId="46" fillId="6" borderId="11" xfId="0" applyFont="1" applyFill="1" applyBorder="1" applyAlignment="1" applyProtection="1">
      <alignment horizontal="center" vertical="center"/>
      <protection hidden="1"/>
    </xf>
    <xf numFmtId="0" fontId="46" fillId="6" borderId="0" xfId="0" applyFont="1" applyFill="1" applyAlignment="1" applyProtection="1">
      <alignment horizontal="center" vertical="center"/>
      <protection hidden="1"/>
    </xf>
    <xf numFmtId="0" fontId="47" fillId="7" borderId="1" xfId="0" applyFont="1" applyFill="1" applyBorder="1" applyAlignment="1" applyProtection="1">
      <alignment horizontal="center" vertical="center"/>
      <protection hidden="1"/>
    </xf>
    <xf numFmtId="0" fontId="47" fillId="6" borderId="1" xfId="0" applyFont="1" applyFill="1" applyBorder="1" applyAlignment="1" applyProtection="1">
      <alignment horizontal="center" vertical="center"/>
      <protection hidden="1"/>
    </xf>
    <xf numFmtId="0" fontId="33" fillId="7" borderId="1" xfId="0" applyFont="1" applyFill="1" applyBorder="1" applyAlignment="1" applyProtection="1">
      <alignment horizontal="center" vertical="center"/>
      <protection hidden="1"/>
    </xf>
    <xf numFmtId="0" fontId="33" fillId="6" borderId="1" xfId="0" applyFont="1" applyFill="1" applyBorder="1" applyAlignment="1" applyProtection="1">
      <alignment horizontal="center" vertical="center"/>
      <protection hidden="1"/>
    </xf>
    <xf numFmtId="0" fontId="48" fillId="6" borderId="0" xfId="0" applyFont="1" applyFill="1" applyAlignment="1" applyProtection="1">
      <alignment horizontal="center" vertical="center"/>
      <protection hidden="1"/>
    </xf>
    <xf numFmtId="0" fontId="28" fillId="6" borderId="16" xfId="0" applyFont="1" applyFill="1" applyBorder="1" applyAlignment="1" applyProtection="1">
      <alignment horizontal="left" vertical="center"/>
      <protection hidden="1"/>
    </xf>
    <xf numFmtId="0" fontId="28" fillId="6" borderId="2" xfId="0" applyFont="1" applyFill="1" applyBorder="1" applyAlignment="1" applyProtection="1">
      <alignment horizontal="left" vertical="center"/>
      <protection hidden="1"/>
    </xf>
    <xf numFmtId="0" fontId="6" fillId="0" borderId="1" xfId="0" applyFont="1" applyBorder="1" applyAlignment="1" applyProtection="1">
      <alignment horizontal="justify" vertical="center" wrapText="1"/>
      <protection hidden="1"/>
    </xf>
    <xf numFmtId="0" fontId="7" fillId="0" borderId="1" xfId="0" applyFont="1" applyBorder="1" applyAlignment="1" applyProtection="1">
      <alignment horizontal="justify" vertical="center" wrapText="1"/>
      <protection hidden="1"/>
    </xf>
    <xf numFmtId="0" fontId="7" fillId="6" borderId="1" xfId="0" applyFont="1" applyFill="1" applyBorder="1" applyAlignment="1" applyProtection="1">
      <alignment horizontal="justify" vertical="center" wrapText="1"/>
      <protection hidden="1"/>
    </xf>
    <xf numFmtId="0" fontId="51" fillId="7" borderId="31" xfId="0" applyFont="1" applyFill="1" applyBorder="1" applyAlignment="1" applyProtection="1">
      <alignment horizontal="center" vertical="center"/>
      <protection hidden="1"/>
    </xf>
    <xf numFmtId="0" fontId="51" fillId="7" borderId="16" xfId="0" applyFont="1" applyFill="1" applyBorder="1" applyAlignment="1" applyProtection="1">
      <alignment horizontal="center" vertical="center"/>
      <protection hidden="1"/>
    </xf>
    <xf numFmtId="0" fontId="45" fillId="7" borderId="29" xfId="0" applyFont="1" applyFill="1" applyBorder="1" applyAlignment="1" applyProtection="1">
      <alignment horizontal="center" vertical="center" wrapText="1"/>
      <protection hidden="1"/>
    </xf>
    <xf numFmtId="0" fontId="45" fillId="7" borderId="5" xfId="0" applyFont="1" applyFill="1" applyBorder="1" applyAlignment="1" applyProtection="1">
      <alignment horizontal="center" vertical="center" wrapText="1"/>
      <protection hidden="1"/>
    </xf>
    <xf numFmtId="0" fontId="26" fillId="6" borderId="0" xfId="0" applyFont="1" applyFill="1" applyAlignment="1" applyProtection="1">
      <alignment horizontal="left" vertical="center"/>
      <protection hidden="1"/>
    </xf>
    <xf numFmtId="0" fontId="26" fillId="6" borderId="0" xfId="0" applyFont="1" applyFill="1" applyAlignment="1" applyProtection="1">
      <alignment horizontal="center" vertical="center"/>
      <protection hidden="1"/>
    </xf>
    <xf numFmtId="0" fontId="3" fillId="0" borderId="1" xfId="0" applyFont="1" applyBorder="1" applyAlignment="1" applyProtection="1">
      <alignment horizontal="justify" vertical="center" wrapText="1"/>
      <protection hidden="1"/>
    </xf>
    <xf numFmtId="0" fontId="2" fillId="0" borderId="1" xfId="0" applyFont="1" applyBorder="1" applyAlignment="1" applyProtection="1">
      <alignment horizontal="justify" vertical="center" wrapText="1"/>
      <protection hidden="1"/>
    </xf>
    <xf numFmtId="0" fontId="15" fillId="0" borderId="0" xfId="0" applyFont="1" applyAlignment="1" applyProtection="1">
      <alignment vertical="center" wrapText="1"/>
      <protection hidden="1"/>
    </xf>
    <xf numFmtId="0" fontId="40" fillId="0" borderId="0" xfId="0" applyFont="1" applyAlignment="1" applyProtection="1">
      <alignment vertical="center" wrapText="1"/>
      <protection hidden="1"/>
    </xf>
    <xf numFmtId="0" fontId="29" fillId="0" borderId="0" xfId="0" applyFont="1" applyAlignment="1" applyProtection="1">
      <alignment vertical="center" wrapText="1"/>
      <protection hidden="1"/>
    </xf>
    <xf numFmtId="0" fontId="15" fillId="0" borderId="1" xfId="0" applyFont="1" applyBorder="1" applyAlignment="1" applyProtection="1">
      <alignment horizontal="justify" vertical="top" wrapText="1"/>
      <protection hidden="1"/>
    </xf>
    <xf numFmtId="0" fontId="52" fillId="0" borderId="1" xfId="0" applyFont="1" applyBorder="1" applyAlignment="1" applyProtection="1">
      <alignment horizontal="justify" vertical="top" wrapText="1"/>
      <protection hidden="1"/>
    </xf>
    <xf numFmtId="0" fontId="54" fillId="0" borderId="7" xfId="0" applyFont="1" applyBorder="1" applyAlignment="1" applyProtection="1">
      <alignment horizontal="justify" vertical="top" wrapText="1"/>
      <protection hidden="1"/>
    </xf>
    <xf numFmtId="0" fontId="15" fillId="0" borderId="14" xfId="1" applyFont="1" applyFill="1" applyBorder="1" applyAlignment="1" applyProtection="1">
      <alignment horizontal="center" vertical="center" wrapText="1"/>
      <protection hidden="1"/>
    </xf>
    <xf numFmtId="0" fontId="29" fillId="0" borderId="7" xfId="0" applyFont="1" applyBorder="1" applyAlignment="1" applyProtection="1">
      <alignment horizontal="left" vertical="center" wrapText="1"/>
      <protection hidden="1"/>
    </xf>
    <xf numFmtId="0" fontId="29" fillId="0" borderId="7" xfId="0" applyFont="1" applyBorder="1" applyAlignment="1" applyProtection="1">
      <alignment horizontal="justify" vertical="center" wrapText="1"/>
      <protection hidden="1"/>
    </xf>
    <xf numFmtId="0" fontId="29" fillId="0" borderId="7" xfId="0" applyFont="1" applyBorder="1" applyAlignment="1" applyProtection="1">
      <alignment horizontal="center" vertical="center" wrapText="1"/>
      <protection hidden="1"/>
    </xf>
    <xf numFmtId="0" fontId="29" fillId="0" borderId="8" xfId="0" applyFont="1" applyBorder="1" applyAlignment="1" applyProtection="1">
      <alignment horizontal="center" vertical="center" wrapText="1"/>
      <protection hidden="1"/>
    </xf>
    <xf numFmtId="164" fontId="29" fillId="0" borderId="14" xfId="0" applyNumberFormat="1" applyFont="1" applyBorder="1" applyAlignment="1" applyProtection="1">
      <alignment horizontal="center" vertical="center" wrapText="1"/>
      <protection hidden="1"/>
    </xf>
    <xf numFmtId="10" fontId="29" fillId="0" borderId="7" xfId="0" applyNumberFormat="1" applyFont="1" applyBorder="1" applyAlignment="1" applyProtection="1">
      <alignment horizontal="center" vertical="center" wrapText="1"/>
      <protection hidden="1"/>
    </xf>
    <xf numFmtId="9" fontId="29" fillId="0" borderId="21" xfId="0" applyNumberFormat="1" applyFont="1" applyBorder="1" applyAlignment="1" applyProtection="1">
      <alignment horizontal="center" vertical="center" wrapText="1"/>
      <protection hidden="1"/>
    </xf>
    <xf numFmtId="1" fontId="29" fillId="0" borderId="7" xfId="0" applyNumberFormat="1" applyFont="1" applyBorder="1" applyAlignment="1" applyProtection="1">
      <alignment horizontal="center" vertical="center" wrapText="1"/>
      <protection hidden="1"/>
    </xf>
    <xf numFmtId="164" fontId="29" fillId="0" borderId="7" xfId="0" applyNumberFormat="1" applyFont="1" applyBorder="1" applyAlignment="1" applyProtection="1">
      <alignment horizontal="center" vertical="center" wrapText="1"/>
      <protection hidden="1"/>
    </xf>
    <xf numFmtId="0" fontId="15" fillId="0" borderId="7" xfId="0" applyFont="1" applyBorder="1" applyAlignment="1" applyProtection="1">
      <alignment horizontal="justify" vertical="center" wrapText="1"/>
      <protection hidden="1"/>
    </xf>
    <xf numFmtId="0" fontId="29" fillId="0" borderId="8" xfId="0" applyFont="1" applyBorder="1" applyAlignment="1" applyProtection="1">
      <alignment horizontal="justify" vertical="center" wrapText="1"/>
      <protection hidden="1"/>
    </xf>
    <xf numFmtId="10" fontId="15" fillId="0" borderId="14" xfId="0" applyNumberFormat="1" applyFont="1" applyBorder="1" applyAlignment="1" applyProtection="1">
      <alignment horizontal="center" vertical="center" wrapText="1"/>
      <protection locked="0"/>
    </xf>
    <xf numFmtId="10" fontId="15" fillId="0" borderId="7" xfId="0" applyNumberFormat="1" applyFont="1" applyBorder="1" applyAlignment="1" applyProtection="1">
      <alignment horizontal="center" vertical="center" wrapText="1"/>
      <protection locked="0"/>
    </xf>
    <xf numFmtId="10" fontId="15" fillId="0" borderId="7" xfId="9" applyNumberFormat="1" applyFont="1" applyFill="1" applyBorder="1" applyAlignment="1" applyProtection="1">
      <alignment horizontal="center" vertical="center" wrapText="1"/>
      <protection hidden="1"/>
    </xf>
    <xf numFmtId="0" fontId="29" fillId="0" borderId="8" xfId="0" applyFont="1" applyBorder="1" applyAlignment="1" applyProtection="1">
      <alignment horizontal="left" vertical="center" wrapText="1"/>
      <protection hidden="1"/>
    </xf>
    <xf numFmtId="164" fontId="29" fillId="0" borderId="14" xfId="9" applyNumberFormat="1" applyFont="1" applyFill="1" applyBorder="1" applyAlignment="1" applyProtection="1">
      <alignment horizontal="center" vertical="center" wrapText="1"/>
      <protection hidden="1"/>
    </xf>
    <xf numFmtId="164" fontId="29" fillId="0" borderId="7" xfId="9" applyNumberFormat="1" applyFont="1" applyFill="1" applyBorder="1" applyAlignment="1" applyProtection="1">
      <alignment horizontal="center" vertical="center" wrapText="1"/>
      <protection hidden="1"/>
    </xf>
    <xf numFmtId="9" fontId="29" fillId="0" borderId="7" xfId="0" applyNumberFormat="1" applyFont="1" applyBorder="1" applyAlignment="1" applyProtection="1">
      <alignment horizontal="center" vertical="center" wrapText="1"/>
      <protection hidden="1"/>
    </xf>
    <xf numFmtId="164" fontId="29" fillId="0" borderId="21" xfId="0" applyNumberFormat="1" applyFont="1" applyBorder="1" applyAlignment="1" applyProtection="1">
      <alignment horizontal="center" vertical="center" wrapText="1"/>
      <protection hidden="1"/>
    </xf>
    <xf numFmtId="10" fontId="15" fillId="0" borderId="6" xfId="9" applyNumberFormat="1" applyFont="1" applyFill="1" applyBorder="1" applyAlignment="1" applyProtection="1">
      <alignment horizontal="center" vertical="center" wrapText="1"/>
      <protection locked="0"/>
    </xf>
    <xf numFmtId="164" fontId="15" fillId="0" borderId="7" xfId="9" applyNumberFormat="1" applyFont="1" applyFill="1" applyBorder="1" applyAlignment="1" applyProtection="1">
      <alignment horizontal="center" vertical="center" wrapText="1"/>
      <protection locked="0"/>
    </xf>
    <xf numFmtId="164" fontId="15" fillId="0" borderId="8" xfId="9" applyNumberFormat="1" applyFont="1" applyFill="1" applyBorder="1" applyAlignment="1" applyProtection="1">
      <alignment horizontal="center" vertical="center" wrapText="1"/>
      <protection locked="0"/>
    </xf>
    <xf numFmtId="10" fontId="29" fillId="0" borderId="14" xfId="9" applyNumberFormat="1" applyFont="1" applyFill="1" applyBorder="1" applyAlignment="1" applyProtection="1">
      <alignment horizontal="center" vertical="center" wrapText="1"/>
      <protection hidden="1"/>
    </xf>
    <xf numFmtId="10" fontId="29" fillId="0" borderId="7" xfId="9" applyNumberFormat="1" applyFont="1" applyFill="1" applyBorder="1" applyAlignment="1" applyProtection="1">
      <alignment horizontal="center" vertical="center" wrapText="1"/>
      <protection hidden="1"/>
    </xf>
    <xf numFmtId="10" fontId="29" fillId="0" borderId="8" xfId="9" applyNumberFormat="1" applyFont="1" applyFill="1" applyBorder="1" applyAlignment="1" applyProtection="1">
      <alignment horizontal="center" vertical="center" wrapText="1"/>
      <protection hidden="1"/>
    </xf>
    <xf numFmtId="10" fontId="29" fillId="0" borderId="6" xfId="9" applyNumberFormat="1" applyFont="1" applyFill="1" applyBorder="1" applyAlignment="1" applyProtection="1">
      <alignment horizontal="center" vertical="center" wrapText="1"/>
      <protection hidden="1"/>
    </xf>
    <xf numFmtId="9" fontId="29" fillId="0" borderId="7" xfId="9" applyFont="1" applyFill="1" applyBorder="1" applyAlignment="1" applyProtection="1">
      <alignment horizontal="center" vertical="center" wrapText="1"/>
      <protection hidden="1"/>
    </xf>
    <xf numFmtId="9" fontId="29" fillId="0" borderId="14" xfId="9" applyFont="1" applyFill="1" applyBorder="1" applyAlignment="1" applyProtection="1">
      <alignment horizontal="center" vertical="center" wrapText="1"/>
      <protection hidden="1"/>
    </xf>
    <xf numFmtId="9" fontId="29" fillId="0" borderId="8" xfId="9" applyFont="1" applyFill="1" applyBorder="1" applyAlignment="1" applyProtection="1">
      <alignment horizontal="center" vertical="center" wrapText="1"/>
      <protection hidden="1"/>
    </xf>
    <xf numFmtId="0" fontId="32" fillId="0" borderId="0" xfId="0" applyFont="1" applyAlignment="1" applyProtection="1">
      <alignment vertical="center" wrapText="1"/>
      <protection hidden="1"/>
    </xf>
    <xf numFmtId="0" fontId="54" fillId="0" borderId="1" xfId="0" applyFont="1" applyBorder="1" applyAlignment="1" applyProtection="1">
      <alignment horizontal="justify" vertical="top" wrapText="1"/>
      <protection hidden="1"/>
    </xf>
    <xf numFmtId="0" fontId="15" fillId="0" borderId="2" xfId="1" applyFont="1" applyFill="1" applyBorder="1" applyAlignment="1" applyProtection="1">
      <alignment horizontal="center" vertical="center" wrapText="1"/>
      <protection hidden="1"/>
    </xf>
    <xf numFmtId="0" fontId="49" fillId="0" borderId="1" xfId="0" applyFont="1" applyBorder="1" applyAlignment="1" applyProtection="1">
      <alignment horizontal="left" vertical="center" wrapText="1"/>
      <protection hidden="1"/>
    </xf>
    <xf numFmtId="0" fontId="49" fillId="0" borderId="1" xfId="0" applyFont="1" applyBorder="1" applyAlignment="1" applyProtection="1">
      <alignment vertical="center" wrapText="1"/>
      <protection hidden="1"/>
    </xf>
    <xf numFmtId="0" fontId="15" fillId="0" borderId="1" xfId="0" applyFont="1" applyBorder="1" applyAlignment="1" applyProtection="1">
      <alignment horizontal="justify" vertical="center" wrapText="1"/>
      <protection hidden="1"/>
    </xf>
    <xf numFmtId="0" fontId="29" fillId="0" borderId="1" xfId="0" applyFont="1" applyBorder="1" applyAlignment="1" applyProtection="1">
      <alignment horizontal="center" vertical="center" wrapText="1"/>
      <protection hidden="1"/>
    </xf>
    <xf numFmtId="0" fontId="29" fillId="0" borderId="3" xfId="0" applyFont="1" applyBorder="1" applyAlignment="1" applyProtection="1">
      <alignment horizontal="center" vertical="center" wrapText="1"/>
      <protection hidden="1"/>
    </xf>
    <xf numFmtId="0" fontId="29" fillId="0" borderId="2" xfId="0" applyFont="1" applyBorder="1" applyAlignment="1" applyProtection="1">
      <alignment horizontal="center" vertical="center"/>
      <protection hidden="1"/>
    </xf>
    <xf numFmtId="0" fontId="29" fillId="0" borderId="1" xfId="0" applyFont="1" applyBorder="1" applyAlignment="1" applyProtection="1">
      <alignment horizontal="center" vertical="center"/>
      <protection hidden="1"/>
    </xf>
    <xf numFmtId="0" fontId="29" fillId="0" borderId="16" xfId="0" applyFont="1" applyBorder="1" applyAlignment="1" applyProtection="1">
      <alignment horizontal="center" vertical="center" wrapText="1"/>
      <protection hidden="1"/>
    </xf>
    <xf numFmtId="2" fontId="15" fillId="0" borderId="2" xfId="0" applyNumberFormat="1" applyFont="1" applyBorder="1" applyAlignment="1" applyProtection="1">
      <alignment horizontal="center" vertical="center" wrapText="1"/>
      <protection hidden="1"/>
    </xf>
    <xf numFmtId="2" fontId="15" fillId="0" borderId="1" xfId="0" applyNumberFormat="1" applyFont="1" applyBorder="1" applyAlignment="1" applyProtection="1">
      <alignment horizontal="center" vertical="center" wrapText="1"/>
      <protection hidden="1"/>
    </xf>
    <xf numFmtId="9" fontId="15" fillId="0" borderId="1" xfId="9" applyFont="1" applyFill="1" applyBorder="1" applyAlignment="1" applyProtection="1">
      <alignment horizontal="center" vertical="center" wrapText="1"/>
      <protection hidden="1"/>
    </xf>
    <xf numFmtId="0" fontId="15" fillId="0" borderId="3" xfId="0" applyFont="1" applyBorder="1" applyAlignment="1" applyProtection="1">
      <alignment horizontal="justify" vertical="center" wrapText="1"/>
      <protection hidden="1"/>
    </xf>
    <xf numFmtId="0" fontId="29" fillId="0" borderId="2" xfId="0" applyFont="1" applyBorder="1" applyAlignment="1" applyProtection="1">
      <alignment horizontal="center" vertical="center" wrapText="1"/>
      <protection hidden="1"/>
    </xf>
    <xf numFmtId="9" fontId="29" fillId="0" borderId="1" xfId="0" applyNumberFormat="1" applyFont="1" applyBorder="1" applyAlignment="1" applyProtection="1">
      <alignment horizontal="center" vertical="center" wrapText="1"/>
      <protection hidden="1"/>
    </xf>
    <xf numFmtId="2" fontId="29" fillId="0" borderId="2" xfId="0" applyNumberFormat="1" applyFont="1" applyBorder="1" applyAlignment="1" applyProtection="1">
      <alignment horizontal="center" vertical="center" wrapText="1"/>
      <protection hidden="1"/>
    </xf>
    <xf numFmtId="2" fontId="29" fillId="0" borderId="1" xfId="0" applyNumberFormat="1" applyFont="1" applyBorder="1" applyAlignment="1" applyProtection="1">
      <alignment horizontal="center" vertical="center" wrapText="1"/>
      <protection hidden="1"/>
    </xf>
    <xf numFmtId="9" fontId="29" fillId="0" borderId="16" xfId="9" applyFont="1" applyFill="1" applyBorder="1" applyAlignment="1" applyProtection="1">
      <alignment horizontal="center" vertical="center" wrapText="1"/>
      <protection hidden="1"/>
    </xf>
    <xf numFmtId="9" fontId="15" fillId="0" borderId="3" xfId="9"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hidden="1"/>
    </xf>
    <xf numFmtId="165" fontId="15" fillId="0" borderId="1" xfId="0" applyNumberFormat="1" applyFont="1" applyBorder="1" applyAlignment="1" applyProtection="1">
      <alignment horizontal="center" vertical="center" wrapText="1"/>
      <protection hidden="1"/>
    </xf>
    <xf numFmtId="9" fontId="15" fillId="0" borderId="16" xfId="9" applyFont="1" applyFill="1" applyBorder="1" applyAlignment="1" applyProtection="1">
      <alignment horizontal="center" vertical="center" wrapText="1"/>
      <protection hidden="1"/>
    </xf>
    <xf numFmtId="2" fontId="29" fillId="0" borderId="9" xfId="9" applyNumberFormat="1" applyFont="1" applyFill="1" applyBorder="1" applyAlignment="1" applyProtection="1">
      <alignment horizontal="center" vertical="center" wrapText="1"/>
      <protection hidden="1"/>
    </xf>
    <xf numFmtId="9" fontId="15" fillId="0" borderId="1" xfId="0" applyNumberFormat="1" applyFont="1" applyBorder="1" applyAlignment="1" applyProtection="1">
      <alignment horizontal="center" vertical="center" wrapText="1"/>
      <protection hidden="1"/>
    </xf>
    <xf numFmtId="9" fontId="15" fillId="0" borderId="3" xfId="0" applyNumberFormat="1" applyFont="1" applyBorder="1" applyAlignment="1" applyProtection="1">
      <alignment horizontal="center" vertical="center" wrapText="1"/>
      <protection hidden="1"/>
    </xf>
    <xf numFmtId="0" fontId="32" fillId="0" borderId="2" xfId="0" applyFont="1" applyBorder="1" applyAlignment="1" applyProtection="1">
      <alignment horizontal="center" vertical="center" wrapText="1"/>
      <protection hidden="1"/>
    </xf>
    <xf numFmtId="0" fontId="32" fillId="0" borderId="1" xfId="0" applyFont="1" applyBorder="1" applyAlignment="1" applyProtection="1">
      <alignment horizontal="center" vertical="center" wrapText="1"/>
      <protection hidden="1"/>
    </xf>
    <xf numFmtId="0" fontId="32" fillId="0" borderId="3" xfId="0" applyFont="1" applyBorder="1" applyAlignment="1" applyProtection="1">
      <alignment horizontal="center" vertical="center" wrapText="1"/>
      <protection hidden="1"/>
    </xf>
    <xf numFmtId="0" fontId="15" fillId="0" borderId="1" xfId="0" applyFont="1" applyBorder="1" applyAlignment="1" applyProtection="1">
      <alignment horizontal="left" vertical="center" wrapText="1"/>
      <protection hidden="1"/>
    </xf>
    <xf numFmtId="0" fontId="15" fillId="0" borderId="2"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5" fillId="0" borderId="2" xfId="9" applyNumberFormat="1" applyFont="1" applyFill="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9" fontId="29" fillId="0" borderId="16" xfId="0" applyNumberFormat="1" applyFont="1" applyBorder="1" applyAlignment="1" applyProtection="1">
      <alignment horizontal="center" vertical="center" wrapText="1"/>
      <protection hidden="1"/>
    </xf>
    <xf numFmtId="3" fontId="15" fillId="0" borderId="1" xfId="0" applyNumberFormat="1" applyFont="1" applyBorder="1" applyAlignment="1" applyProtection="1">
      <alignment horizontal="center" vertical="center" wrapText="1"/>
      <protection locked="0"/>
    </xf>
    <xf numFmtId="1" fontId="15" fillId="0" borderId="2" xfId="0" applyNumberFormat="1" applyFont="1" applyBorder="1" applyAlignment="1" applyProtection="1">
      <alignment horizontal="center" vertical="center" wrapText="1"/>
      <protection hidden="1"/>
    </xf>
    <xf numFmtId="1" fontId="15" fillId="0" borderId="1" xfId="0" applyNumberFormat="1" applyFont="1" applyBorder="1" applyAlignment="1" applyProtection="1">
      <alignment horizontal="center" vertical="center" wrapText="1"/>
      <protection hidden="1"/>
    </xf>
    <xf numFmtId="9" fontId="15" fillId="0" borderId="16" xfId="0" applyNumberFormat="1" applyFont="1" applyBorder="1" applyAlignment="1" applyProtection="1">
      <alignment horizontal="center" vertical="center" wrapText="1"/>
      <protection hidden="1"/>
    </xf>
    <xf numFmtId="1" fontId="29" fillId="0" borderId="9" xfId="9" applyNumberFormat="1" applyFont="1" applyFill="1" applyBorder="1" applyAlignment="1" applyProtection="1">
      <alignment horizontal="center" vertical="center" wrapText="1"/>
      <protection hidden="1"/>
    </xf>
    <xf numFmtId="0" fontId="15" fillId="0" borderId="1" xfId="9" applyNumberFormat="1" applyFont="1" applyBorder="1" applyAlignment="1" applyProtection="1">
      <alignment horizontal="center" vertical="center" wrapText="1"/>
      <protection hidden="1"/>
    </xf>
    <xf numFmtId="9" fontId="15" fillId="0" borderId="3" xfId="9" applyFont="1" applyBorder="1" applyAlignment="1" applyProtection="1">
      <alignment horizontal="center" vertical="center" wrapText="1"/>
      <protection hidden="1"/>
    </xf>
    <xf numFmtId="0" fontId="29" fillId="0" borderId="1" xfId="0" applyFont="1" applyBorder="1" applyAlignment="1" applyProtection="1">
      <alignment horizontal="justify" vertical="top" wrapText="1"/>
      <protection hidden="1"/>
    </xf>
    <xf numFmtId="0" fontId="15" fillId="0" borderId="32" xfId="2" applyFont="1" applyFill="1" applyAlignment="1" applyProtection="1">
      <alignment horizontal="center" vertical="center" wrapText="1"/>
      <protection hidden="1"/>
    </xf>
    <xf numFmtId="9" fontId="29" fillId="0" borderId="1" xfId="9" applyFont="1" applyFill="1" applyBorder="1" applyAlignment="1" applyProtection="1">
      <alignment horizontal="center" vertical="center" wrapText="1"/>
      <protection hidden="1"/>
    </xf>
    <xf numFmtId="10" fontId="15" fillId="0" borderId="1" xfId="9" applyNumberFormat="1" applyFont="1" applyFill="1" applyBorder="1" applyAlignment="1" applyProtection="1">
      <alignment horizontal="center" vertical="center" wrapText="1"/>
      <protection hidden="1"/>
    </xf>
    <xf numFmtId="0" fontId="40" fillId="0" borderId="2"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3" xfId="0" applyFont="1" applyBorder="1" applyAlignment="1" applyProtection="1">
      <alignment horizontal="center" vertical="center" wrapText="1"/>
      <protection hidden="1"/>
    </xf>
    <xf numFmtId="0" fontId="15" fillId="0" borderId="32" xfId="1" applyFont="1" applyFill="1" applyBorder="1" applyAlignment="1" applyProtection="1">
      <alignment horizontal="center" vertical="center" wrapText="1"/>
      <protection hidden="1"/>
    </xf>
    <xf numFmtId="0" fontId="15" fillId="0" borderId="15" xfId="0" applyFont="1" applyBorder="1" applyAlignment="1" applyProtection="1">
      <alignment vertical="center" wrapText="1"/>
      <protection hidden="1"/>
    </xf>
    <xf numFmtId="0" fontId="49" fillId="0" borderId="1" xfId="0" applyFont="1" applyBorder="1" applyAlignment="1" applyProtection="1">
      <alignment horizontal="justify" vertical="center" wrapText="1"/>
      <protection hidden="1"/>
    </xf>
    <xf numFmtId="166" fontId="15" fillId="0" borderId="2" xfId="0" applyNumberFormat="1" applyFont="1" applyBorder="1" applyAlignment="1" applyProtection="1">
      <alignment horizontal="center" vertical="center" wrapText="1"/>
      <protection hidden="1"/>
    </xf>
    <xf numFmtId="166" fontId="15" fillId="0" borderId="1" xfId="0" applyNumberFormat="1" applyFont="1" applyBorder="1" applyAlignment="1" applyProtection="1">
      <alignment horizontal="center" vertical="center" wrapText="1"/>
      <protection hidden="1"/>
    </xf>
    <xf numFmtId="165" fontId="15" fillId="0" borderId="1" xfId="0" applyNumberFormat="1" applyFont="1" applyBorder="1" applyAlignment="1" applyProtection="1">
      <alignment horizontal="center" vertical="center" wrapText="1"/>
      <protection locked="0"/>
    </xf>
    <xf numFmtId="9" fontId="15" fillId="0" borderId="3" xfId="0" applyNumberFormat="1" applyFont="1" applyBorder="1" applyAlignment="1" applyProtection="1">
      <alignment horizontal="center" vertical="center" wrapText="1"/>
      <protection locked="0"/>
    </xf>
    <xf numFmtId="164" fontId="29" fillId="0" borderId="1" xfId="9" applyNumberFormat="1" applyFont="1" applyFill="1" applyBorder="1" applyAlignment="1" applyProtection="1">
      <alignment horizontal="center" vertical="center" wrapText="1"/>
      <protection hidden="1"/>
    </xf>
    <xf numFmtId="10" fontId="15" fillId="0" borderId="1" xfId="9" applyNumberFormat="1" applyFont="1" applyBorder="1" applyAlignment="1" applyProtection="1">
      <alignment horizontal="center" vertical="center" wrapText="1"/>
      <protection hidden="1"/>
    </xf>
    <xf numFmtId="0" fontId="15" fillId="0" borderId="15" xfId="1" applyFont="1" applyFill="1" applyBorder="1" applyAlignment="1" applyProtection="1">
      <alignment horizontal="center" vertical="center" wrapText="1"/>
      <protection hidden="1"/>
    </xf>
    <xf numFmtId="2" fontId="49" fillId="0" borderId="2" xfId="0" applyNumberFormat="1" applyFont="1" applyBorder="1" applyAlignment="1" applyProtection="1">
      <alignment horizontal="center" vertical="center" wrapText="1"/>
      <protection hidden="1"/>
    </xf>
    <xf numFmtId="2" fontId="49" fillId="0" borderId="1" xfId="0" applyNumberFormat="1" applyFont="1" applyBorder="1" applyAlignment="1" applyProtection="1">
      <alignment horizontal="center" vertical="center" wrapText="1"/>
      <protection hidden="1"/>
    </xf>
    <xf numFmtId="9" fontId="29" fillId="0" borderId="1" xfId="9" applyFont="1" applyBorder="1" applyAlignment="1" applyProtection="1">
      <alignment horizontal="center" vertical="center" wrapText="1"/>
      <protection hidden="1"/>
    </xf>
    <xf numFmtId="164" fontId="15" fillId="0" borderId="3" xfId="0" applyNumberFormat="1" applyFont="1" applyBorder="1" applyAlignment="1" applyProtection="1">
      <alignment horizontal="center" vertical="center" wrapText="1"/>
      <protection hidden="1"/>
    </xf>
    <xf numFmtId="9" fontId="15" fillId="0" borderId="2" xfId="0" applyNumberFormat="1" applyFont="1" applyBorder="1" applyAlignment="1" applyProtection="1">
      <alignment horizontal="center" vertical="center" wrapText="1"/>
      <protection hidden="1"/>
    </xf>
    <xf numFmtId="1" fontId="15" fillId="0" borderId="1" xfId="0" applyNumberFormat="1" applyFont="1" applyBorder="1" applyAlignment="1" applyProtection="1">
      <alignment horizontal="justify" vertical="center" wrapText="1"/>
      <protection hidden="1"/>
    </xf>
    <xf numFmtId="1" fontId="15" fillId="0" borderId="3" xfId="0" applyNumberFormat="1" applyFont="1" applyBorder="1" applyAlignment="1" applyProtection="1">
      <alignment horizontal="justify" vertical="center" wrapText="1"/>
      <protection hidden="1"/>
    </xf>
    <xf numFmtId="1" fontId="15" fillId="0" borderId="9" xfId="9" applyNumberFormat="1" applyFont="1" applyFill="1" applyBorder="1" applyAlignment="1" applyProtection="1">
      <alignment horizontal="center" vertical="center" wrapText="1"/>
      <protection locked="0"/>
    </xf>
    <xf numFmtId="1" fontId="15" fillId="0" borderId="1" xfId="9" applyNumberFormat="1" applyFont="1" applyFill="1" applyBorder="1" applyAlignment="1" applyProtection="1">
      <alignment horizontal="center" vertical="center" wrapText="1"/>
      <protection locked="0"/>
    </xf>
    <xf numFmtId="1" fontId="15" fillId="0" borderId="2" xfId="9" applyNumberFormat="1" applyFont="1" applyFill="1" applyBorder="1" applyAlignment="1" applyProtection="1">
      <alignment horizontal="center" vertical="center" wrapText="1"/>
      <protection hidden="1"/>
    </xf>
    <xf numFmtId="1" fontId="15" fillId="0" borderId="1" xfId="9" applyNumberFormat="1" applyFont="1" applyFill="1" applyBorder="1" applyAlignment="1" applyProtection="1">
      <alignment horizontal="center" vertical="center" wrapText="1"/>
      <protection hidden="1"/>
    </xf>
    <xf numFmtId="2" fontId="15" fillId="0" borderId="1" xfId="9" applyNumberFormat="1" applyFont="1" applyFill="1" applyBorder="1" applyAlignment="1" applyProtection="1">
      <alignment horizontal="center" vertical="center" wrapText="1"/>
      <protection hidden="1"/>
    </xf>
    <xf numFmtId="9" fontId="15" fillId="0" borderId="3" xfId="9" applyFont="1" applyFill="1" applyBorder="1" applyAlignment="1" applyProtection="1">
      <alignment horizontal="center" vertical="center" wrapText="1"/>
      <protection hidden="1"/>
    </xf>
    <xf numFmtId="9" fontId="55" fillId="0" borderId="2" xfId="9" applyFont="1" applyFill="1" applyBorder="1" applyAlignment="1" applyProtection="1">
      <alignment horizontal="center" vertical="center" wrapText="1"/>
      <protection hidden="1"/>
    </xf>
    <xf numFmtId="9" fontId="55" fillId="0" borderId="1" xfId="9" applyFont="1" applyFill="1" applyBorder="1" applyAlignment="1" applyProtection="1">
      <alignment horizontal="center" vertical="center" wrapText="1"/>
      <protection hidden="1"/>
    </xf>
    <xf numFmtId="9" fontId="55" fillId="0" borderId="3" xfId="9" applyFont="1" applyFill="1" applyBorder="1" applyAlignment="1" applyProtection="1">
      <alignment horizontal="center" vertical="center" wrapText="1"/>
      <protection hidden="1"/>
    </xf>
    <xf numFmtId="0" fontId="29" fillId="0" borderId="1" xfId="0" applyFont="1" applyBorder="1" applyAlignment="1" applyProtection="1">
      <alignment horizontal="left" vertical="center" wrapText="1"/>
      <protection hidden="1"/>
    </xf>
    <xf numFmtId="9" fontId="49" fillId="0" borderId="1" xfId="9" applyFont="1" applyFill="1" applyBorder="1" applyAlignment="1" applyProtection="1">
      <alignment horizontal="center" vertical="center" wrapText="1"/>
      <protection hidden="1"/>
    </xf>
    <xf numFmtId="0" fontId="49" fillId="0" borderId="3" xfId="0" applyFont="1" applyBorder="1" applyAlignment="1" applyProtection="1">
      <alignment horizontal="justify" vertical="center" wrapText="1"/>
      <protection hidden="1"/>
    </xf>
    <xf numFmtId="0" fontId="49" fillId="0" borderId="2" xfId="0" applyFont="1" applyBorder="1" applyAlignment="1" applyProtection="1">
      <alignment horizontal="center" vertical="center" wrapText="1"/>
      <protection hidden="1"/>
    </xf>
    <xf numFmtId="0" fontId="49" fillId="0" borderId="1" xfId="0" applyFont="1" applyBorder="1" applyAlignment="1" applyProtection="1">
      <alignment horizontal="center" vertical="center" wrapText="1"/>
      <protection hidden="1"/>
    </xf>
    <xf numFmtId="164" fontId="29" fillId="0" borderId="16" xfId="9" applyNumberFormat="1" applyFont="1" applyFill="1" applyBorder="1" applyAlignment="1" applyProtection="1">
      <alignment horizontal="center" vertical="center" wrapText="1"/>
      <protection hidden="1"/>
    </xf>
    <xf numFmtId="0" fontId="29" fillId="0" borderId="9" xfId="0" applyFont="1" applyBorder="1" applyAlignment="1" applyProtection="1">
      <alignment horizontal="center" vertical="center" wrapText="1"/>
      <protection locked="0" hidden="1"/>
    </xf>
    <xf numFmtId="0" fontId="29" fillId="0" borderId="1" xfId="0" applyFont="1" applyBorder="1" applyAlignment="1" applyProtection="1">
      <alignment horizontal="center" vertical="center" wrapText="1"/>
      <protection locked="0" hidden="1"/>
    </xf>
    <xf numFmtId="1" fontId="29" fillId="0" borderId="2" xfId="0" applyNumberFormat="1" applyFont="1" applyBorder="1" applyAlignment="1" applyProtection="1">
      <alignment horizontal="center" vertical="center" wrapText="1"/>
      <protection hidden="1"/>
    </xf>
    <xf numFmtId="1" fontId="29" fillId="0" borderId="1" xfId="0" applyNumberFormat="1" applyFont="1" applyBorder="1" applyAlignment="1" applyProtection="1">
      <alignment horizontal="center" vertical="center" wrapText="1"/>
      <protection hidden="1"/>
    </xf>
    <xf numFmtId="10" fontId="29" fillId="0" borderId="1" xfId="0" applyNumberFormat="1" applyFont="1" applyBorder="1" applyAlignment="1" applyProtection="1">
      <alignment horizontal="center" vertical="center" wrapText="1"/>
      <protection hidden="1"/>
    </xf>
    <xf numFmtId="10" fontId="29" fillId="0" borderId="3" xfId="0" applyNumberFormat="1" applyFont="1" applyBorder="1" applyAlignment="1" applyProtection="1">
      <alignment horizontal="center" vertical="center" wrapText="1"/>
      <protection hidden="1"/>
    </xf>
    <xf numFmtId="9" fontId="29" fillId="0" borderId="2" xfId="0" applyNumberFormat="1" applyFont="1" applyBorder="1" applyAlignment="1" applyProtection="1">
      <alignment horizontal="center" vertical="center" wrapText="1"/>
      <protection hidden="1"/>
    </xf>
    <xf numFmtId="9" fontId="29" fillId="0" borderId="3" xfId="0" applyNumberFormat="1"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locked="0"/>
    </xf>
    <xf numFmtId="9" fontId="15" fillId="0" borderId="1" xfId="9" applyFont="1" applyBorder="1" applyAlignment="1" applyProtection="1">
      <alignment horizontal="center" vertical="center" wrapText="1"/>
      <protection hidden="1"/>
    </xf>
    <xf numFmtId="9" fontId="29" fillId="0" borderId="1" xfId="0" applyNumberFormat="1" applyFont="1" applyBorder="1" applyAlignment="1" applyProtection="1">
      <alignment horizontal="center" vertical="center" wrapText="1"/>
      <protection locked="0" hidden="1"/>
    </xf>
    <xf numFmtId="1" fontId="29" fillId="0" borderId="2" xfId="9" applyNumberFormat="1" applyFont="1" applyFill="1" applyBorder="1" applyAlignment="1" applyProtection="1">
      <alignment horizontal="center" vertical="center" wrapText="1"/>
      <protection hidden="1"/>
    </xf>
    <xf numFmtId="1" fontId="29" fillId="0" borderId="1" xfId="9" applyNumberFormat="1" applyFont="1" applyFill="1" applyBorder="1" applyAlignment="1" applyProtection="1">
      <alignment horizontal="center" vertical="center" wrapText="1"/>
      <protection hidden="1"/>
    </xf>
    <xf numFmtId="9" fontId="29" fillId="0" borderId="3" xfId="9" applyFont="1" applyFill="1" applyBorder="1" applyAlignment="1" applyProtection="1">
      <alignment horizontal="center" vertical="center" wrapText="1"/>
      <protection hidden="1"/>
    </xf>
    <xf numFmtId="9" fontId="29" fillId="0" borderId="2" xfId="9" applyFont="1" applyFill="1" applyBorder="1" applyAlignment="1" applyProtection="1">
      <alignment horizontal="center" vertical="center" wrapText="1"/>
      <protection hidden="1"/>
    </xf>
    <xf numFmtId="2" fontId="15" fillId="0" borderId="1" xfId="9" applyNumberFormat="1" applyFont="1" applyFill="1" applyBorder="1" applyAlignment="1" applyProtection="1">
      <alignment horizontal="center" vertical="center" wrapText="1"/>
      <protection locked="0"/>
    </xf>
    <xf numFmtId="2" fontId="15" fillId="0" borderId="2" xfId="9" applyNumberFormat="1" applyFont="1" applyFill="1" applyBorder="1" applyAlignment="1" applyProtection="1">
      <alignment horizontal="center" vertical="center" wrapText="1"/>
      <protection hidden="1"/>
    </xf>
    <xf numFmtId="9" fontId="29" fillId="0" borderId="2" xfId="0" applyNumberFormat="1" applyFont="1" applyBorder="1" applyAlignment="1" applyProtection="1">
      <alignment horizontal="center" vertical="center"/>
      <protection hidden="1"/>
    </xf>
    <xf numFmtId="9" fontId="29" fillId="0" borderId="1" xfId="0" applyNumberFormat="1" applyFont="1" applyBorder="1" applyAlignment="1" applyProtection="1">
      <alignment horizontal="center" vertical="center"/>
      <protection hidden="1"/>
    </xf>
    <xf numFmtId="0" fontId="29" fillId="0" borderId="1" xfId="0" applyFont="1" applyBorder="1" applyAlignment="1" applyProtection="1">
      <alignment horizontal="left" vertical="top" wrapText="1"/>
      <protection hidden="1"/>
    </xf>
    <xf numFmtId="164" fontId="15" fillId="0" borderId="1" xfId="9" applyNumberFormat="1" applyFont="1" applyFill="1" applyBorder="1" applyAlignment="1" applyProtection="1">
      <alignment horizontal="center" vertical="center" wrapText="1"/>
      <protection locked="0"/>
    </xf>
    <xf numFmtId="9" fontId="29" fillId="0" borderId="9" xfId="9" applyFont="1" applyFill="1" applyBorder="1" applyAlignment="1" applyProtection="1">
      <alignment horizontal="center" vertical="center" wrapText="1"/>
      <protection hidden="1"/>
    </xf>
    <xf numFmtId="0" fontId="29" fillId="0" borderId="9" xfId="0" applyFont="1" applyBorder="1" applyAlignment="1">
      <alignment horizontal="center" vertical="center" wrapText="1"/>
    </xf>
    <xf numFmtId="1" fontId="29" fillId="0" borderId="1" xfId="0" applyNumberFormat="1" applyFont="1" applyBorder="1" applyAlignment="1">
      <alignment horizontal="center" vertical="center" wrapText="1"/>
    </xf>
    <xf numFmtId="9" fontId="29" fillId="0" borderId="1" xfId="9" applyFont="1" applyFill="1" applyBorder="1" applyAlignment="1">
      <alignment horizontal="center" vertical="center" wrapText="1"/>
    </xf>
    <xf numFmtId="164" fontId="29" fillId="0" borderId="3" xfId="9" applyNumberFormat="1" applyFont="1" applyFill="1" applyBorder="1" applyAlignment="1">
      <alignment horizontal="center" vertical="center" wrapText="1"/>
    </xf>
    <xf numFmtId="9" fontId="29" fillId="0" borderId="3" xfId="9" applyFont="1" applyBorder="1" applyAlignment="1" applyProtection="1">
      <alignment horizontal="center" vertical="center" wrapText="1"/>
      <protection hidden="1"/>
    </xf>
    <xf numFmtId="9" fontId="29" fillId="0" borderId="16" xfId="0" applyNumberFormat="1" applyFont="1" applyBorder="1" applyAlignment="1" applyProtection="1">
      <alignment horizontal="center" vertical="center"/>
      <protection hidden="1"/>
    </xf>
    <xf numFmtId="1" fontId="49" fillId="0" borderId="2" xfId="0" applyNumberFormat="1" applyFont="1" applyBorder="1" applyAlignment="1" applyProtection="1">
      <alignment horizontal="center" vertical="center" wrapText="1"/>
      <protection hidden="1"/>
    </xf>
    <xf numFmtId="1" fontId="49" fillId="0" borderId="1" xfId="0" applyNumberFormat="1" applyFont="1" applyBorder="1" applyAlignment="1" applyProtection="1">
      <alignment horizontal="center" vertical="center" wrapText="1"/>
      <protection hidden="1"/>
    </xf>
    <xf numFmtId="9" fontId="29" fillId="0" borderId="3" xfId="0" applyNumberFormat="1" applyFont="1" applyBorder="1" applyAlignment="1" applyProtection="1">
      <alignment horizontal="center" vertical="center" wrapText="1"/>
      <protection locked="0" hidden="1"/>
    </xf>
    <xf numFmtId="0" fontId="15" fillId="0" borderId="1" xfId="0" applyFont="1" applyBorder="1" applyAlignment="1" applyProtection="1">
      <alignment vertical="center" wrapText="1"/>
      <protection hidden="1"/>
    </xf>
    <xf numFmtId="0" fontId="15" fillId="0" borderId="3" xfId="0" applyFont="1" applyBorder="1" applyAlignment="1" applyProtection="1">
      <alignment horizontal="center" vertical="center" wrapText="1"/>
      <protection hidden="1"/>
    </xf>
    <xf numFmtId="9" fontId="15" fillId="0" borderId="2" xfId="0" applyNumberFormat="1" applyFont="1" applyBorder="1" applyAlignment="1" applyProtection="1">
      <alignment horizontal="center" vertical="center"/>
      <protection hidden="1"/>
    </xf>
    <xf numFmtId="9" fontId="15" fillId="0" borderId="1" xfId="0" applyNumberFormat="1" applyFont="1" applyBorder="1" applyAlignment="1" applyProtection="1">
      <alignment horizontal="center" vertical="center"/>
      <protection hidden="1"/>
    </xf>
    <xf numFmtId="0" fontId="52" fillId="6" borderId="1" xfId="0" applyFont="1" applyFill="1" applyBorder="1" applyAlignment="1" applyProtection="1">
      <alignment horizontal="justify" vertical="top" wrapText="1"/>
      <protection hidden="1"/>
    </xf>
    <xf numFmtId="0" fontId="15" fillId="6" borderId="2" xfId="1" applyFont="1" applyFill="1" applyBorder="1" applyAlignment="1" applyProtection="1">
      <alignment horizontal="center" vertical="center" wrapText="1"/>
      <protection hidden="1"/>
    </xf>
    <xf numFmtId="0" fontId="49" fillId="6" borderId="1" xfId="0" applyFont="1" applyFill="1" applyBorder="1" applyAlignment="1" applyProtection="1">
      <alignment horizontal="left" vertical="center" wrapText="1"/>
      <protection hidden="1"/>
    </xf>
    <xf numFmtId="0" fontId="49" fillId="6" borderId="1" xfId="0" applyFont="1" applyFill="1" applyBorder="1" applyAlignment="1" applyProtection="1">
      <alignment vertical="center" wrapText="1"/>
      <protection hidden="1"/>
    </xf>
    <xf numFmtId="0" fontId="15" fillId="6" borderId="1" xfId="0" applyFont="1" applyFill="1" applyBorder="1" applyAlignment="1" applyProtection="1">
      <alignment horizontal="justify" vertical="center" wrapText="1"/>
      <protection hidden="1"/>
    </xf>
    <xf numFmtId="0" fontId="29" fillId="6" borderId="1" xfId="0" applyFont="1" applyFill="1" applyBorder="1" applyAlignment="1" applyProtection="1">
      <alignment horizontal="center" vertical="center" wrapText="1"/>
      <protection hidden="1"/>
    </xf>
    <xf numFmtId="0" fontId="29" fillId="6" borderId="3" xfId="0" applyFont="1" applyFill="1" applyBorder="1" applyAlignment="1" applyProtection="1">
      <alignment horizontal="center" vertical="center" wrapText="1"/>
      <protection hidden="1"/>
    </xf>
    <xf numFmtId="0" fontId="29" fillId="6" borderId="2" xfId="0" applyFont="1" applyFill="1" applyBorder="1" applyAlignment="1" applyProtection="1">
      <alignment horizontal="center" vertical="center" wrapText="1"/>
      <protection hidden="1"/>
    </xf>
    <xf numFmtId="0" fontId="29" fillId="6" borderId="1" xfId="0" applyFont="1" applyFill="1" applyBorder="1" applyAlignment="1" applyProtection="1">
      <alignment horizontal="center" vertical="center"/>
      <protection hidden="1"/>
    </xf>
    <xf numFmtId="0" fontId="29" fillId="6" borderId="16" xfId="0" applyFont="1" applyFill="1" applyBorder="1" applyAlignment="1" applyProtection="1">
      <alignment horizontal="center" vertical="center" wrapText="1"/>
      <protection hidden="1"/>
    </xf>
    <xf numFmtId="1" fontId="49" fillId="6" borderId="2" xfId="0" applyNumberFormat="1" applyFont="1" applyFill="1" applyBorder="1" applyAlignment="1" applyProtection="1">
      <alignment horizontal="center" vertical="center" wrapText="1"/>
      <protection hidden="1"/>
    </xf>
    <xf numFmtId="9" fontId="29" fillId="6" borderId="16" xfId="0" applyNumberFormat="1" applyFont="1" applyFill="1" applyBorder="1" applyAlignment="1" applyProtection="1">
      <alignment horizontal="center" vertical="center" wrapText="1"/>
      <protection hidden="1"/>
    </xf>
    <xf numFmtId="9" fontId="15" fillId="6" borderId="1" xfId="0" applyNumberFormat="1" applyFont="1" applyFill="1" applyBorder="1" applyAlignment="1" applyProtection="1">
      <alignment horizontal="center" vertical="center" wrapText="1"/>
      <protection locked="0"/>
    </xf>
    <xf numFmtId="9" fontId="15" fillId="6" borderId="3" xfId="0" applyNumberFormat="1"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hidden="1"/>
    </xf>
    <xf numFmtId="9" fontId="15" fillId="6" borderId="16" xfId="9" applyFont="1" applyFill="1" applyBorder="1" applyAlignment="1" applyProtection="1">
      <alignment horizontal="center" vertical="center" wrapText="1"/>
      <protection hidden="1"/>
    </xf>
    <xf numFmtId="1" fontId="29" fillId="6" borderId="9" xfId="9" applyNumberFormat="1" applyFont="1" applyFill="1" applyBorder="1" applyAlignment="1" applyProtection="1">
      <alignment horizontal="center" vertical="center" wrapText="1"/>
      <protection hidden="1"/>
    </xf>
    <xf numFmtId="9" fontId="15" fillId="6" borderId="3" xfId="9" applyFont="1" applyFill="1" applyBorder="1" applyAlignment="1" applyProtection="1">
      <alignment horizontal="center" vertical="center" wrapText="1"/>
      <protection hidden="1"/>
    </xf>
    <xf numFmtId="1" fontId="49" fillId="0" borderId="3" xfId="0" applyNumberFormat="1" applyFont="1" applyBorder="1" applyAlignment="1" applyProtection="1">
      <alignment horizontal="left" vertical="center" wrapText="1"/>
      <protection hidden="1"/>
    </xf>
    <xf numFmtId="164" fontId="15" fillId="0" borderId="3" xfId="9" applyNumberFormat="1" applyFont="1" applyFill="1" applyBorder="1" applyAlignment="1" applyProtection="1">
      <alignment horizontal="center" vertical="center" wrapText="1"/>
      <protection locked="0"/>
    </xf>
    <xf numFmtId="10" fontId="15" fillId="0" borderId="16" xfId="9" applyNumberFormat="1" applyFont="1" applyFill="1" applyBorder="1" applyAlignment="1" applyProtection="1">
      <alignment horizontal="center" vertical="center" wrapText="1"/>
      <protection hidden="1"/>
    </xf>
    <xf numFmtId="164" fontId="15" fillId="0" borderId="1" xfId="0" applyNumberFormat="1" applyFont="1" applyBorder="1" applyAlignment="1" applyProtection="1">
      <alignment horizontal="center" vertical="center" wrapText="1"/>
      <protection locked="0"/>
    </xf>
    <xf numFmtId="164" fontId="15" fillId="0" borderId="3" xfId="9" applyNumberFormat="1" applyFont="1" applyFill="1" applyBorder="1" applyAlignment="1" applyProtection="1">
      <alignment horizontal="center" vertical="center" wrapText="1"/>
      <protection hidden="1"/>
    </xf>
    <xf numFmtId="165" fontId="15" fillId="0" borderId="9" xfId="0" applyNumberFormat="1" applyFont="1" applyBorder="1" applyAlignment="1" applyProtection="1">
      <alignment horizontal="center" vertical="center" wrapText="1"/>
      <protection locked="0"/>
    </xf>
    <xf numFmtId="164" fontId="15" fillId="0" borderId="16" xfId="0" applyNumberFormat="1" applyFont="1" applyBorder="1" applyAlignment="1" applyProtection="1">
      <alignment horizontal="center" vertical="center" wrapText="1"/>
      <protection hidden="1"/>
    </xf>
    <xf numFmtId="165" fontId="29" fillId="0" borderId="9" xfId="9" applyNumberFormat="1" applyFont="1" applyFill="1" applyBorder="1" applyAlignment="1" applyProtection="1">
      <alignment horizontal="center" vertical="center" wrapText="1"/>
      <protection hidden="1"/>
    </xf>
    <xf numFmtId="9" fontId="55" fillId="0" borderId="2" xfId="0" applyNumberFormat="1" applyFont="1" applyBorder="1" applyAlignment="1" applyProtection="1">
      <alignment horizontal="center" vertical="center" wrapText="1"/>
      <protection hidden="1"/>
    </xf>
    <xf numFmtId="9" fontId="55" fillId="0" borderId="1" xfId="0" applyNumberFormat="1" applyFont="1" applyBorder="1" applyAlignment="1" applyProtection="1">
      <alignment horizontal="center" vertical="center" wrapText="1"/>
      <protection hidden="1"/>
    </xf>
    <xf numFmtId="9" fontId="55" fillId="0" borderId="3" xfId="0" applyNumberFormat="1" applyFont="1" applyBorder="1" applyAlignment="1" applyProtection="1">
      <alignment horizontal="center" vertical="center" wrapText="1"/>
      <protection hidden="1"/>
    </xf>
    <xf numFmtId="0" fontId="49" fillId="0" borderId="15" xfId="0" applyFont="1" applyBorder="1" applyAlignment="1" applyProtection="1">
      <alignment vertical="center" wrapText="1"/>
      <protection hidden="1"/>
    </xf>
    <xf numFmtId="165" fontId="15" fillId="0" borderId="9" xfId="9" applyNumberFormat="1" applyFont="1" applyFill="1" applyBorder="1" applyAlignment="1" applyProtection="1">
      <alignment horizontal="center" vertical="center" wrapText="1"/>
      <protection locked="0"/>
    </xf>
    <xf numFmtId="165" fontId="15" fillId="0" borderId="1" xfId="9" applyNumberFormat="1" applyFont="1" applyFill="1" applyBorder="1" applyAlignment="1" applyProtection="1">
      <alignment horizontal="center" vertical="center" wrapText="1"/>
      <protection locked="0"/>
    </xf>
    <xf numFmtId="9" fontId="15" fillId="0" borderId="2" xfId="0" applyNumberFormat="1" applyFont="1" applyBorder="1" applyAlignment="1" applyProtection="1">
      <alignment horizontal="center" vertical="center" wrapText="1"/>
      <protection locked="0"/>
    </xf>
    <xf numFmtId="2" fontId="29" fillId="0" borderId="2" xfId="9" applyNumberFormat="1" applyFont="1" applyFill="1" applyBorder="1" applyAlignment="1" applyProtection="1">
      <alignment horizontal="center" vertical="center" wrapText="1"/>
      <protection hidden="1"/>
    </xf>
    <xf numFmtId="2" fontId="29" fillId="0" borderId="1" xfId="9" applyNumberFormat="1" applyFont="1" applyFill="1" applyBorder="1" applyAlignment="1" applyProtection="1">
      <alignment horizontal="center" vertical="center" wrapText="1"/>
      <protection hidden="1"/>
    </xf>
    <xf numFmtId="167" fontId="29" fillId="0" borderId="2" xfId="6" applyNumberFormat="1" applyFont="1" applyFill="1" applyBorder="1" applyAlignment="1" applyProtection="1">
      <alignment horizontal="center" vertical="center"/>
      <protection hidden="1"/>
    </xf>
    <xf numFmtId="167" fontId="29" fillId="0" borderId="1" xfId="6" applyNumberFormat="1" applyFont="1" applyFill="1" applyBorder="1" applyAlignment="1" applyProtection="1">
      <alignment horizontal="center" vertical="center"/>
      <protection hidden="1"/>
    </xf>
    <xf numFmtId="167" fontId="29" fillId="0" borderId="16" xfId="6" applyNumberFormat="1" applyFont="1" applyFill="1" applyBorder="1" applyAlignment="1" applyProtection="1">
      <alignment horizontal="center" vertical="center" wrapText="1"/>
      <protection hidden="1"/>
    </xf>
    <xf numFmtId="3" fontId="15" fillId="0" borderId="2" xfId="0" applyNumberFormat="1" applyFont="1" applyBorder="1" applyAlignment="1" applyProtection="1">
      <alignment horizontal="center" vertical="center" wrapText="1"/>
      <protection hidden="1"/>
    </xf>
    <xf numFmtId="3" fontId="15" fillId="0" borderId="1" xfId="0" applyNumberFormat="1" applyFont="1" applyBorder="1" applyAlignment="1" applyProtection="1">
      <alignment horizontal="center" vertical="center" wrapText="1"/>
      <protection hidden="1"/>
    </xf>
    <xf numFmtId="3" fontId="15" fillId="0" borderId="1" xfId="6" applyNumberFormat="1" applyFont="1" applyBorder="1" applyAlignment="1" applyProtection="1">
      <alignment horizontal="center" vertical="center" wrapText="1"/>
      <protection locked="0"/>
    </xf>
    <xf numFmtId="0" fontId="15" fillId="0" borderId="3" xfId="0" quotePrefix="1" applyFont="1" applyBorder="1" applyAlignment="1" applyProtection="1">
      <alignment horizontal="justify" vertical="center" wrapText="1"/>
      <protection hidden="1"/>
    </xf>
    <xf numFmtId="3" fontId="29" fillId="0" borderId="2" xfId="0" applyNumberFormat="1" applyFont="1" applyBorder="1" applyAlignment="1" applyProtection="1">
      <alignment horizontal="center" vertical="center" wrapText="1"/>
      <protection hidden="1"/>
    </xf>
    <xf numFmtId="3" fontId="29" fillId="0" borderId="1" xfId="0" applyNumberFormat="1" applyFont="1" applyBorder="1" applyAlignment="1" applyProtection="1">
      <alignment horizontal="center" vertical="center" wrapText="1"/>
      <protection hidden="1"/>
    </xf>
    <xf numFmtId="10" fontId="29" fillId="0" borderId="16" xfId="0" applyNumberFormat="1" applyFont="1" applyBorder="1" applyAlignment="1" applyProtection="1">
      <alignment horizontal="center" vertical="center" wrapText="1"/>
      <protection hidden="1"/>
    </xf>
    <xf numFmtId="3" fontId="15" fillId="0" borderId="9" xfId="0" applyNumberFormat="1" applyFont="1" applyBorder="1" applyAlignment="1" applyProtection="1">
      <alignment horizontal="center" vertical="center" wrapText="1"/>
      <protection locked="0"/>
    </xf>
    <xf numFmtId="3" fontId="15" fillId="0" borderId="2" xfId="9" applyNumberFormat="1" applyFont="1" applyFill="1" applyBorder="1" applyAlignment="1" applyProtection="1">
      <alignment horizontal="center" vertical="center" wrapText="1"/>
      <protection hidden="1"/>
    </xf>
    <xf numFmtId="3" fontId="29" fillId="0" borderId="34" xfId="9" applyNumberFormat="1" applyFont="1" applyFill="1" applyBorder="1" applyAlignment="1" applyProtection="1">
      <alignment horizontal="center" vertical="center" wrapText="1"/>
      <protection hidden="1"/>
    </xf>
    <xf numFmtId="3" fontId="29" fillId="0" borderId="1" xfId="9" applyNumberFormat="1" applyFont="1" applyFill="1" applyBorder="1" applyAlignment="1" applyProtection="1">
      <alignment horizontal="center" vertical="center" wrapText="1"/>
      <protection hidden="1"/>
    </xf>
    <xf numFmtId="9" fontId="29" fillId="0" borderId="16" xfId="9" applyFont="1" applyBorder="1" applyAlignment="1" applyProtection="1">
      <alignment horizontal="center" vertical="center" wrapText="1"/>
      <protection hidden="1"/>
    </xf>
    <xf numFmtId="9" fontId="15" fillId="0" borderId="2" xfId="9" applyFont="1" applyFill="1" applyBorder="1" applyAlignment="1" applyProtection="1">
      <alignment horizontal="center" vertical="center" wrapText="1"/>
      <protection hidden="1"/>
    </xf>
    <xf numFmtId="10" fontId="29" fillId="0" borderId="2" xfId="0" applyNumberFormat="1" applyFont="1" applyBorder="1" applyAlignment="1" applyProtection="1">
      <alignment horizontal="center" vertical="center" wrapText="1"/>
      <protection hidden="1"/>
    </xf>
    <xf numFmtId="1" fontId="49" fillId="0" borderId="1" xfId="0" applyNumberFormat="1" applyFont="1" applyBorder="1" applyAlignment="1" applyProtection="1">
      <alignment horizontal="justify" vertical="center" wrapText="1"/>
      <protection hidden="1"/>
    </xf>
    <xf numFmtId="1" fontId="49" fillId="0" borderId="3" xfId="0" applyNumberFormat="1" applyFont="1" applyBorder="1" applyAlignment="1" applyProtection="1">
      <alignment horizontal="justify" vertical="center" wrapText="1"/>
      <protection hidden="1"/>
    </xf>
    <xf numFmtId="9" fontId="49" fillId="0" borderId="1" xfId="9" applyFont="1" applyBorder="1" applyAlignment="1" applyProtection="1">
      <alignment horizontal="center" vertical="center" wrapText="1"/>
      <protection hidden="1"/>
    </xf>
    <xf numFmtId="164" fontId="15" fillId="0" borderId="16" xfId="9" applyNumberFormat="1" applyFont="1" applyFill="1" applyBorder="1" applyAlignment="1" applyProtection="1">
      <alignment horizontal="center" vertical="center" wrapText="1"/>
      <protection hidden="1"/>
    </xf>
    <xf numFmtId="9" fontId="15" fillId="0" borderId="16" xfId="9"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hidden="1"/>
    </xf>
    <xf numFmtId="0" fontId="15" fillId="0" borderId="1" xfId="7" applyFont="1" applyBorder="1" applyAlignment="1" applyProtection="1">
      <alignment horizontal="center" vertical="center" wrapText="1"/>
      <protection hidden="1"/>
    </xf>
    <xf numFmtId="9" fontId="15" fillId="0" borderId="1" xfId="7" applyNumberFormat="1" applyFont="1" applyBorder="1" applyAlignment="1" applyProtection="1">
      <alignment horizontal="center" vertical="center" wrapText="1"/>
      <protection hidden="1"/>
    </xf>
    <xf numFmtId="0" fontId="15" fillId="0" borderId="1" xfId="7" applyFont="1" applyBorder="1" applyAlignment="1" applyProtection="1">
      <alignment horizontal="justify" vertical="center" wrapText="1"/>
      <protection hidden="1"/>
    </xf>
    <xf numFmtId="0" fontId="15" fillId="0" borderId="3" xfId="7" applyFont="1" applyBorder="1" applyAlignment="1" applyProtection="1">
      <alignment horizontal="justify" vertical="center" wrapText="1"/>
      <protection hidden="1"/>
    </xf>
    <xf numFmtId="4" fontId="29" fillId="0" borderId="1" xfId="9" applyNumberFormat="1" applyFont="1" applyFill="1" applyBorder="1" applyAlignment="1" applyProtection="1">
      <alignment horizontal="center" vertical="center" wrapText="1"/>
      <protection hidden="1"/>
    </xf>
    <xf numFmtId="164" fontId="29" fillId="0" borderId="2" xfId="9" applyNumberFormat="1" applyFont="1" applyFill="1" applyBorder="1" applyAlignment="1" applyProtection="1">
      <alignment horizontal="center" vertical="center" wrapText="1"/>
      <protection hidden="1"/>
    </xf>
    <xf numFmtId="164" fontId="29" fillId="0" borderId="3" xfId="9" applyNumberFormat="1" applyFont="1" applyFill="1" applyBorder="1" applyAlignment="1" applyProtection="1">
      <alignment horizontal="center" vertical="center" wrapText="1"/>
      <protection hidden="1"/>
    </xf>
    <xf numFmtId="10" fontId="15" fillId="0" borderId="2" xfId="0" applyNumberFormat="1" applyFont="1" applyBorder="1" applyAlignment="1" applyProtection="1">
      <alignment horizontal="center" vertical="center" wrapText="1"/>
      <protection hidden="1"/>
    </xf>
    <xf numFmtId="10" fontId="15" fillId="0" borderId="1" xfId="0" applyNumberFormat="1" applyFont="1" applyBorder="1" applyAlignment="1" applyProtection="1">
      <alignment horizontal="center" vertical="center" wrapText="1"/>
      <protection hidden="1"/>
    </xf>
    <xf numFmtId="0" fontId="56" fillId="0" borderId="1" xfId="0" applyFont="1" applyBorder="1" applyAlignment="1" applyProtection="1">
      <alignment horizontal="justify" vertical="center" wrapText="1"/>
      <protection hidden="1"/>
    </xf>
    <xf numFmtId="10" fontId="15" fillId="0" borderId="3" xfId="0" applyNumberFormat="1" applyFont="1" applyBorder="1" applyAlignment="1" applyProtection="1">
      <alignment horizontal="center" vertical="center" wrapText="1"/>
      <protection hidden="1"/>
    </xf>
    <xf numFmtId="0" fontId="15" fillId="0" borderId="12" xfId="1" applyFont="1" applyFill="1" applyBorder="1" applyAlignment="1" applyProtection="1">
      <alignment horizontal="center" vertical="center" wrapText="1"/>
      <protection hidden="1"/>
    </xf>
    <xf numFmtId="0" fontId="29" fillId="0" borderId="4" xfId="0" applyFont="1" applyBorder="1" applyAlignment="1" applyProtection="1">
      <alignment horizontal="left" vertical="center" wrapText="1"/>
      <protection hidden="1"/>
    </xf>
    <xf numFmtId="0" fontId="49" fillId="0" borderId="4" xfId="0" applyFont="1" applyBorder="1" applyAlignment="1" applyProtection="1">
      <alignment vertical="center" wrapText="1"/>
      <protection hidden="1"/>
    </xf>
    <xf numFmtId="0" fontId="15" fillId="0" borderId="4" xfId="0" applyFont="1" applyBorder="1" applyAlignment="1" applyProtection="1">
      <alignment horizontal="justify" vertical="center" wrapText="1"/>
      <protection hidden="1"/>
    </xf>
    <xf numFmtId="0" fontId="29" fillId="0" borderId="4" xfId="0" applyFont="1" applyBorder="1" applyAlignment="1" applyProtection="1">
      <alignment horizontal="center" vertical="center" wrapText="1"/>
      <protection hidden="1"/>
    </xf>
    <xf numFmtId="0" fontId="29" fillId="0" borderId="5" xfId="0" applyFont="1" applyBorder="1" applyAlignment="1" applyProtection="1">
      <alignment horizontal="center" vertical="center" wrapText="1"/>
      <protection hidden="1"/>
    </xf>
    <xf numFmtId="0" fontId="29" fillId="0" borderId="12" xfId="0" applyFont="1" applyBorder="1" applyAlignment="1" applyProtection="1">
      <alignment horizontal="center" vertical="center"/>
      <protection hidden="1"/>
    </xf>
    <xf numFmtId="0" fontId="29" fillId="0" borderId="4" xfId="0" applyFont="1" applyBorder="1" applyAlignment="1" applyProtection="1">
      <alignment horizontal="center" vertical="center"/>
      <protection hidden="1"/>
    </xf>
    <xf numFmtId="0" fontId="29" fillId="0" borderId="13" xfId="0" applyFont="1" applyBorder="1" applyAlignment="1" applyProtection="1">
      <alignment horizontal="center" vertical="center" wrapText="1"/>
      <protection hidden="1"/>
    </xf>
    <xf numFmtId="2" fontId="29" fillId="0" borderId="12" xfId="0" applyNumberFormat="1" applyFont="1" applyBorder="1" applyAlignment="1" applyProtection="1">
      <alignment horizontal="center" vertical="center" wrapText="1"/>
      <protection hidden="1"/>
    </xf>
    <xf numFmtId="2" fontId="29" fillId="0" borderId="4" xfId="0" applyNumberFormat="1" applyFont="1" applyBorder="1" applyAlignment="1" applyProtection="1">
      <alignment horizontal="center" vertical="center" wrapText="1"/>
      <protection hidden="1"/>
    </xf>
    <xf numFmtId="9" fontId="29" fillId="0" borderId="4" xfId="9" applyFont="1" applyFill="1" applyBorder="1" applyAlignment="1" applyProtection="1">
      <alignment horizontal="center" vertical="center" wrapText="1"/>
      <protection hidden="1"/>
    </xf>
    <xf numFmtId="0" fontId="29" fillId="0" borderId="4" xfId="0" applyFont="1" applyBorder="1" applyAlignment="1" applyProtection="1">
      <alignment horizontal="justify" vertical="center" wrapText="1"/>
      <protection hidden="1"/>
    </xf>
    <xf numFmtId="0" fontId="29" fillId="0" borderId="5" xfId="0" applyFont="1" applyBorder="1" applyAlignment="1" applyProtection="1">
      <alignment horizontal="justify" vertical="center" wrapText="1"/>
      <protection hidden="1"/>
    </xf>
    <xf numFmtId="0" fontId="29" fillId="0" borderId="12" xfId="0" applyFont="1" applyBorder="1" applyAlignment="1" applyProtection="1">
      <alignment horizontal="center" vertical="center" wrapText="1"/>
      <protection hidden="1"/>
    </xf>
    <xf numFmtId="9" fontId="29" fillId="0" borderId="4" xfId="0" applyNumberFormat="1" applyFont="1" applyBorder="1" applyAlignment="1" applyProtection="1">
      <alignment horizontal="center" vertical="center" wrapText="1"/>
      <protection hidden="1"/>
    </xf>
    <xf numFmtId="9" fontId="29" fillId="0" borderId="13" xfId="0" applyNumberFormat="1" applyFont="1" applyBorder="1" applyAlignment="1" applyProtection="1">
      <alignment horizontal="center" vertical="center" wrapText="1"/>
      <protection hidden="1"/>
    </xf>
    <xf numFmtId="9" fontId="15" fillId="0" borderId="5" xfId="0" applyNumberFormat="1" applyFont="1" applyBorder="1" applyAlignment="1" applyProtection="1">
      <alignment horizontal="center" vertical="center" wrapText="1"/>
      <protection locked="0"/>
    </xf>
    <xf numFmtId="1" fontId="29" fillId="0" borderId="10" xfId="9" applyNumberFormat="1" applyFont="1" applyFill="1" applyBorder="1" applyAlignment="1" applyProtection="1">
      <alignment horizontal="center" vertical="center" wrapText="1"/>
      <protection hidden="1"/>
    </xf>
    <xf numFmtId="9" fontId="29" fillId="0" borderId="4" xfId="9" applyFont="1" applyBorder="1" applyAlignment="1" applyProtection="1">
      <alignment horizontal="center" vertical="center" wrapText="1"/>
      <protection hidden="1"/>
    </xf>
    <xf numFmtId="9" fontId="29" fillId="0" borderId="5" xfId="9" applyFont="1" applyBorder="1" applyAlignment="1" applyProtection="1">
      <alignment horizontal="center" vertical="center" wrapText="1"/>
      <protection hidden="1"/>
    </xf>
    <xf numFmtId="14" fontId="1" fillId="0" borderId="1" xfId="0" applyNumberFormat="1" applyFont="1" applyBorder="1" applyAlignment="1" applyProtection="1">
      <alignment horizontal="center" vertical="center" wrapText="1"/>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1533526</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91"/>
  <sheetViews>
    <sheetView showGridLines="0" tabSelected="1" zoomScale="70" zoomScaleNormal="70" workbookViewId="0">
      <selection activeCell="H17" sqref="H17"/>
    </sheetView>
  </sheetViews>
  <sheetFormatPr baseColWidth="10" defaultColWidth="11.5" defaultRowHeight="15.75" x14ac:dyDescent="0.25"/>
  <cols>
    <col min="1" max="1" width="40.625" style="65" customWidth="1"/>
    <col min="2" max="2" width="9.125" style="11" customWidth="1"/>
    <col min="3" max="3" width="33.375" style="15" customWidth="1"/>
    <col min="4" max="4" width="24.875" style="15" customWidth="1"/>
    <col min="5" max="5" width="30.125" style="15" customWidth="1"/>
    <col min="6" max="6" width="25.75" style="11" customWidth="1"/>
    <col min="7" max="7" width="27.75" style="11" customWidth="1"/>
    <col min="8" max="8" width="15.5" style="11" customWidth="1"/>
    <col min="9" max="9" width="17.125" style="19" customWidth="1"/>
    <col min="10" max="10" width="17.375" style="19" customWidth="1"/>
    <col min="11" max="13" width="13.375" style="19" customWidth="1"/>
    <col min="14" max="14" width="19.25" style="21" customWidth="1"/>
    <col min="15" max="17" width="27.75" style="21" customWidth="1"/>
    <col min="18" max="18" width="127.625" style="20" customWidth="1"/>
    <col min="19" max="19" width="62.125" style="20" customWidth="1"/>
    <col min="20" max="22" width="17.375" style="21" customWidth="1"/>
    <col min="23" max="23" width="101.625" style="20" customWidth="1"/>
    <col min="24" max="24" width="44.375" style="20" customWidth="1"/>
    <col min="25" max="26" width="25.5" style="11" customWidth="1"/>
    <col min="27" max="27" width="28.75" style="18" customWidth="1"/>
    <col min="28" max="28" width="68.5" style="13" customWidth="1"/>
    <col min="29" max="29" width="41.375" style="13" customWidth="1"/>
    <col min="30" max="30" width="20.5" style="11" hidden="1" customWidth="1"/>
    <col min="31" max="31" width="21.75" style="11" hidden="1" customWidth="1"/>
    <col min="32" max="32" width="20.375" style="11" hidden="1" customWidth="1"/>
    <col min="33" max="33" width="142.625" style="13" hidden="1" customWidth="1"/>
    <col min="34" max="34" width="35.125" style="13" hidden="1" customWidth="1"/>
    <col min="35" max="35" width="18.75" style="21" customWidth="1"/>
    <col min="36" max="36" width="13.75" style="21" customWidth="1"/>
    <col min="37" max="37" width="17.875" style="21" customWidth="1"/>
    <col min="38" max="38" width="17.625" style="21" customWidth="1"/>
    <col min="39" max="39" width="18.25" style="21" customWidth="1"/>
    <col min="40" max="40" width="13.875" style="21" customWidth="1"/>
    <col min="41" max="42" width="21" style="21" customWidth="1"/>
    <col min="43" max="43" width="21" style="50" customWidth="1"/>
    <col min="44" max="44" width="15" style="50" customWidth="1"/>
    <col min="45" max="46" width="21" style="50" customWidth="1"/>
    <col min="47" max="47" width="21" style="11" customWidth="1"/>
    <col min="48" max="48" width="18.875" style="50" bestFit="1" customWidth="1"/>
    <col min="49" max="50" width="21" style="50" customWidth="1"/>
    <col min="51" max="53" width="21" style="11" customWidth="1"/>
    <col min="54" max="54" width="26" style="11" customWidth="1"/>
    <col min="55" max="56" width="17.25" style="15" customWidth="1"/>
    <col min="57" max="69" width="11.5" style="15" customWidth="1"/>
    <col min="70" max="16384" width="11.5" style="15"/>
  </cols>
  <sheetData>
    <row r="1" spans="1:69" s="3" customFormat="1" ht="61.5" x14ac:dyDescent="0.3">
      <c r="A1" s="61"/>
      <c r="B1" s="40"/>
      <c r="C1" s="1"/>
      <c r="D1" s="1"/>
      <c r="E1" s="1"/>
      <c r="F1" s="204" t="s">
        <v>0</v>
      </c>
      <c r="G1" s="204"/>
      <c r="H1" s="204"/>
      <c r="I1" s="204"/>
      <c r="J1" s="204"/>
      <c r="K1" s="204"/>
      <c r="L1" s="204"/>
      <c r="M1" s="204"/>
      <c r="N1" s="204"/>
      <c r="O1" s="204"/>
      <c r="P1" s="204"/>
      <c r="Q1" s="204"/>
      <c r="R1" s="204"/>
      <c r="S1" s="204"/>
      <c r="T1" s="204"/>
      <c r="U1" s="204"/>
      <c r="V1" s="204"/>
      <c r="W1" s="204"/>
      <c r="X1" s="204"/>
      <c r="Y1" s="204"/>
      <c r="Z1" s="204"/>
      <c r="AA1" s="204"/>
      <c r="AB1" s="204"/>
      <c r="AC1" s="204"/>
      <c r="AD1" s="205"/>
      <c r="AE1" s="205"/>
      <c r="AF1" s="205"/>
      <c r="AG1" s="205"/>
      <c r="AH1" s="205"/>
      <c r="AI1" s="204"/>
      <c r="AJ1" s="2"/>
      <c r="AK1" s="53"/>
      <c r="AL1" s="53"/>
      <c r="AM1" s="35"/>
      <c r="AN1" s="35"/>
      <c r="AO1" s="35"/>
      <c r="AP1" s="35"/>
      <c r="AQ1" s="4"/>
      <c r="AR1" s="4"/>
      <c r="AS1" s="4"/>
      <c r="AT1" s="4"/>
      <c r="AU1" s="4"/>
      <c r="AV1" s="4"/>
      <c r="AW1" s="4"/>
      <c r="AX1" s="4"/>
      <c r="AY1" s="4"/>
      <c r="AZ1" s="4"/>
      <c r="BA1" s="136" t="s">
        <v>1</v>
      </c>
      <c r="BB1" s="137" t="s">
        <v>2</v>
      </c>
      <c r="BC1" s="5"/>
      <c r="BD1" s="5"/>
      <c r="BE1" s="5"/>
      <c r="BF1" s="5"/>
      <c r="BG1" s="5"/>
      <c r="BH1" s="5"/>
      <c r="BI1" s="5"/>
      <c r="BJ1" s="5"/>
      <c r="BK1" s="5"/>
      <c r="BL1" s="5"/>
      <c r="BM1" s="5"/>
      <c r="BN1" s="5"/>
      <c r="BO1" s="5"/>
      <c r="BP1" s="54"/>
      <c r="BQ1" s="54"/>
    </row>
    <row r="2" spans="1:69" s="3" customFormat="1" ht="61.5" x14ac:dyDescent="0.3">
      <c r="A2" s="61"/>
      <c r="B2" s="40"/>
      <c r="C2" s="1"/>
      <c r="D2" s="1"/>
      <c r="E2" s="1"/>
      <c r="F2" s="204"/>
      <c r="G2" s="204"/>
      <c r="H2" s="204"/>
      <c r="I2" s="204"/>
      <c r="J2" s="204"/>
      <c r="K2" s="204"/>
      <c r="L2" s="204"/>
      <c r="M2" s="204"/>
      <c r="N2" s="204"/>
      <c r="O2" s="204"/>
      <c r="P2" s="204"/>
      <c r="Q2" s="204"/>
      <c r="R2" s="204"/>
      <c r="S2" s="204"/>
      <c r="T2" s="204"/>
      <c r="U2" s="204"/>
      <c r="V2" s="204"/>
      <c r="W2" s="204"/>
      <c r="X2" s="204"/>
      <c r="Y2" s="204"/>
      <c r="Z2" s="204"/>
      <c r="AA2" s="204"/>
      <c r="AB2" s="204"/>
      <c r="AC2" s="204"/>
      <c r="AD2" s="205"/>
      <c r="AE2" s="205"/>
      <c r="AF2" s="205"/>
      <c r="AG2" s="205"/>
      <c r="AH2" s="205"/>
      <c r="AI2" s="204"/>
      <c r="AJ2" s="2"/>
      <c r="AK2" s="53"/>
      <c r="AL2" s="53"/>
      <c r="AM2" s="35"/>
      <c r="AN2" s="35"/>
      <c r="AO2" s="35"/>
      <c r="AP2" s="35"/>
      <c r="AQ2" s="4"/>
      <c r="AR2" s="4"/>
      <c r="AS2" s="4"/>
      <c r="AT2" s="4"/>
      <c r="AU2" s="4"/>
      <c r="AV2" s="4"/>
      <c r="AW2" s="4"/>
      <c r="AX2" s="4"/>
      <c r="AY2" s="4"/>
      <c r="AZ2" s="4"/>
      <c r="BA2" s="136" t="s">
        <v>3</v>
      </c>
      <c r="BB2" s="137">
        <v>2</v>
      </c>
      <c r="BC2" s="5"/>
      <c r="BD2" s="5"/>
      <c r="BE2" s="5"/>
      <c r="BF2" s="5"/>
      <c r="BG2" s="5"/>
      <c r="BH2" s="5"/>
      <c r="BI2" s="5"/>
      <c r="BJ2" s="5"/>
      <c r="BK2" s="5"/>
      <c r="BL2" s="5"/>
      <c r="BM2" s="5"/>
      <c r="BN2" s="5"/>
      <c r="BO2" s="5"/>
      <c r="BP2" s="54"/>
      <c r="BQ2" s="54"/>
    </row>
    <row r="3" spans="1:69" s="3" customFormat="1" ht="61.5" x14ac:dyDescent="0.3">
      <c r="A3" s="61"/>
      <c r="B3" s="40"/>
      <c r="C3" s="1"/>
      <c r="D3" s="1"/>
      <c r="E3" s="1"/>
      <c r="F3" s="204"/>
      <c r="G3" s="204"/>
      <c r="H3" s="204"/>
      <c r="I3" s="204"/>
      <c r="J3" s="204"/>
      <c r="K3" s="204"/>
      <c r="L3" s="204"/>
      <c r="M3" s="204"/>
      <c r="N3" s="204"/>
      <c r="O3" s="204"/>
      <c r="P3" s="204"/>
      <c r="Q3" s="204"/>
      <c r="R3" s="204"/>
      <c r="S3" s="204"/>
      <c r="T3" s="204"/>
      <c r="U3" s="204"/>
      <c r="V3" s="204"/>
      <c r="W3" s="204"/>
      <c r="X3" s="204"/>
      <c r="Y3" s="204"/>
      <c r="Z3" s="204"/>
      <c r="AA3" s="204"/>
      <c r="AB3" s="204"/>
      <c r="AC3" s="204"/>
      <c r="AD3" s="205"/>
      <c r="AE3" s="205"/>
      <c r="AF3" s="205"/>
      <c r="AG3" s="205"/>
      <c r="AH3" s="205"/>
      <c r="AI3" s="204"/>
      <c r="AJ3" s="2"/>
      <c r="AK3" s="53"/>
      <c r="AL3" s="53"/>
      <c r="AM3" s="36"/>
      <c r="AN3" s="36"/>
      <c r="AO3" s="36"/>
      <c r="AP3" s="36"/>
      <c r="AQ3" s="6"/>
      <c r="AR3" s="6"/>
      <c r="AS3" s="6"/>
      <c r="AT3" s="6"/>
      <c r="AU3" s="6"/>
      <c r="AV3" s="6"/>
      <c r="AW3" s="6"/>
      <c r="AX3" s="6"/>
      <c r="AY3" s="6"/>
      <c r="AZ3" s="6"/>
      <c r="BA3" s="136" t="s">
        <v>4</v>
      </c>
      <c r="BB3" s="138" t="s">
        <v>5</v>
      </c>
      <c r="BC3" s="5"/>
      <c r="BD3" s="5"/>
      <c r="BE3" s="5"/>
      <c r="BF3" s="5"/>
      <c r="BG3" s="5"/>
      <c r="BH3" s="5"/>
      <c r="BI3" s="5"/>
      <c r="BJ3" s="5"/>
      <c r="BK3" s="5"/>
      <c r="BL3" s="5"/>
      <c r="BM3" s="5"/>
      <c r="BN3" s="5"/>
      <c r="BO3" s="5"/>
      <c r="BP3" s="54"/>
      <c r="BQ3" s="54"/>
    </row>
    <row r="4" spans="1:69" s="3" customFormat="1" ht="61.5" x14ac:dyDescent="0.25">
      <c r="A4" s="61"/>
      <c r="B4" s="40"/>
      <c r="C4" s="1"/>
      <c r="D4" s="1"/>
      <c r="E4" s="1"/>
      <c r="F4" s="204"/>
      <c r="G4" s="204"/>
      <c r="H4" s="204"/>
      <c r="I4" s="204"/>
      <c r="J4" s="204"/>
      <c r="K4" s="204"/>
      <c r="L4" s="204"/>
      <c r="M4" s="204"/>
      <c r="N4" s="204"/>
      <c r="O4" s="204"/>
      <c r="P4" s="204"/>
      <c r="Q4" s="204"/>
      <c r="R4" s="204"/>
      <c r="S4" s="204"/>
      <c r="T4" s="204"/>
      <c r="U4" s="204"/>
      <c r="V4" s="204"/>
      <c r="W4" s="204"/>
      <c r="X4" s="204"/>
      <c r="Y4" s="204"/>
      <c r="Z4" s="204"/>
      <c r="AA4" s="204"/>
      <c r="AB4" s="204"/>
      <c r="AC4" s="204"/>
      <c r="AD4" s="205"/>
      <c r="AE4" s="205"/>
      <c r="AF4" s="205"/>
      <c r="AG4" s="205"/>
      <c r="AH4" s="205"/>
      <c r="AI4" s="204"/>
      <c r="AJ4" s="2"/>
      <c r="AK4" s="53"/>
      <c r="AL4" s="53"/>
      <c r="AM4" s="37"/>
      <c r="AN4" s="37"/>
      <c r="AO4" s="37"/>
      <c r="AP4" s="37"/>
      <c r="AQ4" s="48"/>
      <c r="AR4" s="48"/>
      <c r="AS4" s="48"/>
      <c r="AT4" s="48"/>
      <c r="AU4" s="7"/>
      <c r="AV4" s="48"/>
      <c r="AW4" s="48"/>
      <c r="AX4" s="48"/>
      <c r="AY4" s="7"/>
      <c r="AZ4" s="7"/>
      <c r="BA4" s="139" t="s">
        <v>6</v>
      </c>
      <c r="BB4" s="139">
        <v>160202</v>
      </c>
      <c r="BC4" s="5"/>
      <c r="BD4" s="5"/>
      <c r="BE4" s="5"/>
      <c r="BF4" s="5"/>
      <c r="BG4" s="5"/>
      <c r="BH4" s="5"/>
      <c r="BI4" s="5"/>
      <c r="BJ4" s="5"/>
      <c r="BK4" s="5"/>
      <c r="BL4" s="5"/>
      <c r="BM4" s="5"/>
      <c r="BN4" s="5"/>
      <c r="BO4" s="5"/>
      <c r="BP4" s="54"/>
      <c r="BQ4" s="54"/>
    </row>
    <row r="5" spans="1:69" s="3" customFormat="1" ht="61.5" x14ac:dyDescent="0.2">
      <c r="A5" s="61"/>
      <c r="B5" s="40"/>
      <c r="C5" s="1"/>
      <c r="D5" s="1"/>
      <c r="E5" s="1"/>
      <c r="F5" s="204"/>
      <c r="G5" s="204"/>
      <c r="H5" s="204"/>
      <c r="I5" s="204"/>
      <c r="J5" s="204"/>
      <c r="K5" s="204"/>
      <c r="L5" s="204"/>
      <c r="M5" s="204"/>
      <c r="N5" s="204"/>
      <c r="O5" s="204"/>
      <c r="P5" s="204"/>
      <c r="Q5" s="204"/>
      <c r="R5" s="204"/>
      <c r="S5" s="204"/>
      <c r="T5" s="204"/>
      <c r="U5" s="204"/>
      <c r="V5" s="204"/>
      <c r="W5" s="204"/>
      <c r="X5" s="204"/>
      <c r="Y5" s="204"/>
      <c r="Z5" s="204"/>
      <c r="AA5" s="204"/>
      <c r="AB5" s="204"/>
      <c r="AC5" s="204"/>
      <c r="AD5" s="205"/>
      <c r="AE5" s="205"/>
      <c r="AF5" s="205"/>
      <c r="AG5" s="205"/>
      <c r="AH5" s="205"/>
      <c r="AI5" s="204"/>
      <c r="AJ5" s="2"/>
      <c r="AK5" s="2"/>
      <c r="AL5" s="2"/>
      <c r="AM5" s="2"/>
      <c r="AN5" s="2"/>
      <c r="AO5" s="2"/>
      <c r="AP5" s="2"/>
      <c r="AQ5" s="49"/>
      <c r="AR5" s="49"/>
      <c r="AS5" s="49"/>
      <c r="AT5" s="49"/>
      <c r="AU5" s="2"/>
      <c r="AV5" s="49"/>
      <c r="AW5" s="49"/>
      <c r="AX5" s="49"/>
      <c r="AY5" s="2"/>
      <c r="AZ5" s="2"/>
      <c r="BA5" s="2"/>
      <c r="BB5" s="2"/>
      <c r="BC5" s="5"/>
      <c r="BD5" s="5"/>
      <c r="BE5" s="5"/>
      <c r="BF5" s="5"/>
      <c r="BG5" s="5"/>
      <c r="BH5" s="5"/>
      <c r="BI5" s="5"/>
      <c r="BJ5" s="5"/>
      <c r="BK5" s="5"/>
      <c r="BL5" s="5"/>
      <c r="BM5" s="5"/>
      <c r="BN5" s="5"/>
      <c r="BO5" s="5"/>
      <c r="BP5" s="8"/>
      <c r="BQ5" s="9"/>
    </row>
    <row r="7" spans="1:69" ht="28.5" x14ac:dyDescent="0.25">
      <c r="A7" s="187" t="s">
        <v>7</v>
      </c>
      <c r="B7" s="187"/>
      <c r="C7" s="187"/>
      <c r="D7" s="187"/>
      <c r="E7" s="187"/>
      <c r="F7" s="195" t="s">
        <v>8</v>
      </c>
      <c r="G7" s="196"/>
      <c r="H7" s="10"/>
      <c r="I7" s="10"/>
      <c r="J7" s="10"/>
      <c r="K7" s="10"/>
      <c r="L7" s="10"/>
      <c r="M7" s="10"/>
      <c r="N7" s="10"/>
      <c r="O7" s="127"/>
      <c r="P7" s="127"/>
      <c r="Q7" s="127"/>
      <c r="R7" s="128"/>
      <c r="S7" s="128"/>
      <c r="T7" s="127"/>
      <c r="U7" s="127"/>
      <c r="V7" s="127"/>
      <c r="W7" s="128"/>
      <c r="X7" s="128"/>
      <c r="Z7" s="12"/>
      <c r="AA7" s="12"/>
      <c r="AC7" s="14"/>
      <c r="AD7" s="10"/>
      <c r="AE7" s="10"/>
      <c r="AF7" s="10"/>
      <c r="AG7" s="14"/>
      <c r="AH7" s="14"/>
      <c r="AI7" s="10"/>
    </row>
    <row r="8" spans="1:69" ht="28.5" x14ac:dyDescent="0.25">
      <c r="A8" s="187" t="s">
        <v>9</v>
      </c>
      <c r="B8" s="187"/>
      <c r="C8" s="187"/>
      <c r="D8" s="187"/>
      <c r="E8" s="187"/>
      <c r="F8" s="195" t="s">
        <v>321</v>
      </c>
      <c r="G8" s="196"/>
      <c r="H8" s="10"/>
      <c r="I8" s="10"/>
      <c r="J8" s="10"/>
      <c r="K8" s="10"/>
      <c r="L8" s="10"/>
      <c r="M8" s="10"/>
      <c r="N8" s="10"/>
      <c r="O8" s="127"/>
      <c r="P8" s="127"/>
      <c r="Q8" s="127"/>
      <c r="R8" s="128"/>
      <c r="S8" s="128"/>
      <c r="T8" s="127"/>
      <c r="U8" s="127"/>
      <c r="V8" s="127"/>
      <c r="W8" s="128"/>
      <c r="X8" s="128"/>
      <c r="Z8" s="12"/>
      <c r="AA8" s="12"/>
      <c r="AC8" s="14"/>
      <c r="AD8" s="10"/>
      <c r="AE8" s="10"/>
      <c r="AF8" s="10"/>
      <c r="AG8" s="14"/>
      <c r="AH8" s="14"/>
      <c r="AI8" s="38"/>
    </row>
    <row r="9" spans="1:69" ht="28.5" x14ac:dyDescent="0.25">
      <c r="A9" s="62"/>
      <c r="B9" s="12"/>
      <c r="C9" s="12"/>
      <c r="D9" s="12"/>
      <c r="E9" s="12"/>
      <c r="F9" s="12"/>
      <c r="G9" s="12"/>
      <c r="H9" s="12"/>
      <c r="I9" s="12"/>
      <c r="J9" s="12"/>
      <c r="K9" s="12"/>
      <c r="L9" s="12"/>
      <c r="M9" s="12"/>
      <c r="N9" s="12"/>
      <c r="O9" s="129"/>
      <c r="P9" s="129"/>
      <c r="Q9" s="129"/>
      <c r="R9" s="130"/>
      <c r="S9" s="130"/>
      <c r="T9" s="129"/>
      <c r="U9" s="129"/>
      <c r="V9" s="129"/>
      <c r="W9" s="130"/>
      <c r="X9" s="130"/>
      <c r="Y9" s="12"/>
      <c r="Z9" s="12"/>
      <c r="AA9" s="12"/>
      <c r="AB9" s="16"/>
      <c r="AC9" s="16"/>
      <c r="AD9" s="17"/>
      <c r="AE9" s="17"/>
      <c r="AF9" s="17"/>
      <c r="AG9" s="16"/>
      <c r="AH9" s="16"/>
    </row>
    <row r="10" spans="1:69" ht="28.5" x14ac:dyDescent="0.25">
      <c r="A10" s="62"/>
      <c r="B10" s="12"/>
      <c r="C10" s="12"/>
      <c r="D10" s="12"/>
      <c r="E10" s="12"/>
      <c r="F10" s="12"/>
      <c r="G10" s="12"/>
      <c r="H10" s="12"/>
      <c r="I10" s="12"/>
      <c r="J10" s="12"/>
      <c r="K10" s="12"/>
      <c r="L10" s="12"/>
      <c r="M10" s="12"/>
      <c r="N10" s="12"/>
      <c r="O10" s="129"/>
      <c r="P10" s="129"/>
      <c r="Q10" s="129"/>
      <c r="R10" s="130"/>
      <c r="S10" s="130"/>
      <c r="T10" s="129"/>
      <c r="U10" s="129"/>
      <c r="V10" s="129"/>
      <c r="W10" s="130"/>
      <c r="X10" s="130"/>
      <c r="Y10" s="12"/>
      <c r="Z10" s="12"/>
      <c r="AA10" s="12"/>
      <c r="AB10" s="16"/>
      <c r="AC10" s="16"/>
      <c r="AD10" s="17"/>
      <c r="AE10" s="17"/>
      <c r="AF10" s="17"/>
      <c r="AG10" s="16"/>
      <c r="AH10" s="16"/>
    </row>
    <row r="11" spans="1:69" ht="28.5" x14ac:dyDescent="0.25">
      <c r="A11" s="62"/>
      <c r="B11" s="12"/>
      <c r="C11" s="12"/>
      <c r="D11" s="12"/>
      <c r="E11" s="12"/>
      <c r="F11" s="12"/>
      <c r="G11" s="12"/>
      <c r="H11" s="12"/>
      <c r="I11" s="12"/>
      <c r="J11" s="12"/>
      <c r="K11" s="12"/>
      <c r="L11" s="12"/>
      <c r="M11" s="12"/>
      <c r="N11" s="12"/>
      <c r="O11" s="129"/>
      <c r="P11" s="129"/>
      <c r="Q11" s="129"/>
      <c r="R11" s="130"/>
      <c r="S11" s="130"/>
      <c r="T11" s="129"/>
      <c r="U11" s="129"/>
      <c r="V11" s="129"/>
      <c r="W11" s="130"/>
      <c r="X11" s="130"/>
      <c r="Y11" s="12"/>
      <c r="Z11" s="12"/>
      <c r="AA11" s="12"/>
      <c r="AB11" s="16"/>
    </row>
    <row r="12" spans="1:69" ht="28.5" x14ac:dyDescent="0.25">
      <c r="A12" s="62"/>
      <c r="B12" s="12"/>
      <c r="C12" s="12"/>
      <c r="D12" s="12"/>
      <c r="E12" s="12"/>
      <c r="F12" s="12"/>
      <c r="G12" s="12"/>
      <c r="H12" s="12"/>
      <c r="I12" s="12"/>
      <c r="J12" s="12"/>
      <c r="K12" s="12"/>
      <c r="L12" s="12"/>
      <c r="M12" s="12"/>
      <c r="N12" s="12"/>
      <c r="O12" s="129"/>
      <c r="P12" s="129"/>
      <c r="Q12" s="129"/>
      <c r="R12" s="130"/>
      <c r="S12" s="130"/>
      <c r="T12" s="129"/>
      <c r="U12" s="129"/>
      <c r="V12" s="129"/>
      <c r="W12" s="130"/>
      <c r="X12" s="130"/>
      <c r="Y12" s="12"/>
    </row>
    <row r="13" spans="1:69" ht="28.5" x14ac:dyDescent="0.25">
      <c r="A13" s="63" t="s">
        <v>10</v>
      </c>
      <c r="B13" s="12"/>
      <c r="C13" s="12"/>
      <c r="D13" s="12"/>
      <c r="E13" s="12"/>
      <c r="F13" s="12"/>
      <c r="G13" s="12"/>
      <c r="H13" s="190" t="s">
        <v>11</v>
      </c>
      <c r="I13" s="190"/>
      <c r="J13" s="190"/>
      <c r="K13" s="190"/>
      <c r="L13" s="190"/>
      <c r="M13" s="190"/>
      <c r="N13" s="191"/>
      <c r="O13" s="129"/>
      <c r="P13" s="129"/>
      <c r="Q13" s="129"/>
      <c r="R13" s="130"/>
      <c r="S13" s="130"/>
      <c r="T13" s="129"/>
      <c r="U13" s="129"/>
      <c r="V13" s="129"/>
      <c r="W13" s="130"/>
      <c r="X13" s="130"/>
      <c r="Y13" s="12"/>
    </row>
    <row r="14" spans="1:69" ht="26.25" x14ac:dyDescent="0.25">
      <c r="A14" s="63" t="s">
        <v>12</v>
      </c>
      <c r="H14" s="47" t="s">
        <v>13</v>
      </c>
      <c r="I14" s="47" t="s">
        <v>14</v>
      </c>
      <c r="J14" s="192" t="s">
        <v>15</v>
      </c>
      <c r="K14" s="192"/>
      <c r="L14" s="192"/>
      <c r="M14" s="192"/>
      <c r="N14" s="193"/>
      <c r="O14" s="129"/>
      <c r="P14" s="129"/>
      <c r="Q14" s="129"/>
      <c r="R14" s="130"/>
      <c r="S14" s="130"/>
      <c r="T14" s="129"/>
      <c r="U14" s="129"/>
      <c r="V14" s="129"/>
      <c r="W14" s="130"/>
      <c r="X14" s="130"/>
    </row>
    <row r="15" spans="1:69" ht="115.5" customHeight="1" x14ac:dyDescent="0.25">
      <c r="A15" s="63" t="s">
        <v>16</v>
      </c>
      <c r="H15" s="140">
        <v>1</v>
      </c>
      <c r="I15" s="57" t="s">
        <v>252</v>
      </c>
      <c r="J15" s="197" t="s">
        <v>251</v>
      </c>
      <c r="K15" s="198"/>
      <c r="L15" s="198"/>
      <c r="M15" s="198"/>
      <c r="N15" s="199"/>
      <c r="O15" s="129"/>
      <c r="P15" s="129"/>
      <c r="Q15" s="129"/>
      <c r="R15" s="130"/>
      <c r="S15" s="130"/>
      <c r="T15" s="129"/>
      <c r="U15" s="129"/>
      <c r="V15" s="129"/>
      <c r="W15" s="130"/>
      <c r="X15" s="130"/>
      <c r="AB15" s="194"/>
      <c r="AC15" s="194"/>
      <c r="AD15" s="194"/>
      <c r="AE15" s="194"/>
      <c r="AF15" s="194"/>
      <c r="AG15" s="194"/>
      <c r="AH15" s="194"/>
      <c r="AI15" s="194"/>
    </row>
    <row r="16" spans="1:69" ht="42" customHeight="1" x14ac:dyDescent="0.25">
      <c r="A16" s="64"/>
      <c r="H16" s="140">
        <v>2</v>
      </c>
      <c r="I16" s="141" t="s">
        <v>319</v>
      </c>
      <c r="J16" s="206" t="s">
        <v>320</v>
      </c>
      <c r="K16" s="198"/>
      <c r="L16" s="198"/>
      <c r="M16" s="198"/>
      <c r="N16" s="199"/>
      <c r="AN16" s="45"/>
    </row>
    <row r="17" spans="1:65" ht="42" customHeight="1" x14ac:dyDescent="0.25">
      <c r="A17" s="64"/>
      <c r="H17" s="140">
        <v>3</v>
      </c>
      <c r="I17" s="451" t="s">
        <v>391</v>
      </c>
      <c r="J17" s="207" t="s">
        <v>381</v>
      </c>
      <c r="K17" s="198"/>
      <c r="L17" s="198"/>
      <c r="M17" s="198"/>
      <c r="N17" s="199"/>
      <c r="AR17" s="52"/>
    </row>
    <row r="18" spans="1:65" s="23" customFormat="1" ht="27" thickBot="1" x14ac:dyDescent="0.3">
      <c r="A18" s="188"/>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39"/>
      <c r="AJ18" s="39"/>
      <c r="AK18" s="39"/>
      <c r="AL18" s="39"/>
      <c r="AM18" s="39"/>
      <c r="AN18" s="39"/>
      <c r="AO18" s="39"/>
      <c r="AP18" s="39"/>
      <c r="AQ18" s="51"/>
      <c r="AR18" s="51"/>
      <c r="AS18" s="51"/>
      <c r="AT18" s="51"/>
      <c r="AU18" s="22"/>
      <c r="AV18" s="51"/>
      <c r="AW18" s="51"/>
      <c r="AX18" s="51"/>
      <c r="AY18" s="22"/>
      <c r="AZ18" s="22"/>
      <c r="BA18" s="22"/>
      <c r="BB18" s="22"/>
    </row>
    <row r="19" spans="1:65" s="23" customFormat="1" ht="27" thickBot="1" x14ac:dyDescent="0.3">
      <c r="A19" s="164" t="s">
        <v>17</v>
      </c>
      <c r="B19" s="165"/>
      <c r="C19" s="165"/>
      <c r="D19" s="165"/>
      <c r="E19" s="165"/>
      <c r="F19" s="165"/>
      <c r="G19" s="165"/>
      <c r="H19" s="165"/>
      <c r="I19" s="165"/>
      <c r="J19" s="165"/>
      <c r="K19" s="165"/>
      <c r="L19" s="165"/>
      <c r="M19" s="165"/>
      <c r="N19" s="166"/>
      <c r="O19" s="171" t="s">
        <v>186</v>
      </c>
      <c r="P19" s="172"/>
      <c r="Q19" s="172"/>
      <c r="R19" s="172"/>
      <c r="S19" s="200"/>
      <c r="T19" s="171" t="s">
        <v>187</v>
      </c>
      <c r="U19" s="172"/>
      <c r="V19" s="172"/>
      <c r="W19" s="172"/>
      <c r="X19" s="173"/>
      <c r="Y19" s="181" t="s">
        <v>188</v>
      </c>
      <c r="Z19" s="182"/>
      <c r="AA19" s="182"/>
      <c r="AB19" s="182"/>
      <c r="AC19" s="183"/>
      <c r="AD19" s="181" t="s">
        <v>189</v>
      </c>
      <c r="AE19" s="182"/>
      <c r="AF19" s="182"/>
      <c r="AG19" s="182"/>
      <c r="AH19" s="183"/>
      <c r="AI19" s="158" t="s">
        <v>18</v>
      </c>
      <c r="AJ19" s="159"/>
      <c r="AK19" s="159"/>
      <c r="AL19" s="159"/>
      <c r="AM19" s="160"/>
      <c r="AN19" s="160"/>
      <c r="AO19" s="160"/>
      <c r="AP19" s="160"/>
      <c r="AQ19" s="161"/>
      <c r="AR19" s="161"/>
      <c r="AS19" s="161"/>
      <c r="AT19" s="161"/>
      <c r="AU19" s="162"/>
      <c r="AV19" s="161"/>
      <c r="AW19" s="161"/>
      <c r="AX19" s="161"/>
      <c r="AY19" s="162"/>
      <c r="AZ19" s="162"/>
      <c r="BA19" s="162"/>
      <c r="BB19" s="163"/>
      <c r="BC19" s="24"/>
      <c r="BD19" s="24"/>
      <c r="BE19" s="24"/>
      <c r="BF19" s="24"/>
      <c r="BG19" s="24"/>
    </row>
    <row r="20" spans="1:65" s="26" customFormat="1" ht="19.5" thickBot="1" x14ac:dyDescent="0.3">
      <c r="A20" s="169" t="s">
        <v>19</v>
      </c>
      <c r="B20" s="167" t="s">
        <v>20</v>
      </c>
      <c r="C20" s="167" t="s">
        <v>21</v>
      </c>
      <c r="D20" s="167" t="s">
        <v>22</v>
      </c>
      <c r="E20" s="167" t="s">
        <v>23</v>
      </c>
      <c r="F20" s="167" t="s">
        <v>24</v>
      </c>
      <c r="G20" s="167" t="s">
        <v>25</v>
      </c>
      <c r="H20" s="202" t="s">
        <v>26</v>
      </c>
      <c r="I20" s="177" t="s">
        <v>27</v>
      </c>
      <c r="J20" s="178"/>
      <c r="K20" s="178"/>
      <c r="L20" s="178"/>
      <c r="M20" s="178"/>
      <c r="N20" s="179"/>
      <c r="O20" s="174"/>
      <c r="P20" s="175"/>
      <c r="Q20" s="175"/>
      <c r="R20" s="175"/>
      <c r="S20" s="201"/>
      <c r="T20" s="174"/>
      <c r="U20" s="175"/>
      <c r="V20" s="175"/>
      <c r="W20" s="175"/>
      <c r="X20" s="176"/>
      <c r="Y20" s="184"/>
      <c r="Z20" s="185"/>
      <c r="AA20" s="185"/>
      <c r="AB20" s="185"/>
      <c r="AC20" s="186"/>
      <c r="AD20" s="184"/>
      <c r="AE20" s="185"/>
      <c r="AF20" s="185"/>
      <c r="AG20" s="185"/>
      <c r="AH20" s="186"/>
      <c r="AI20" s="180" t="s">
        <v>28</v>
      </c>
      <c r="AJ20" s="156"/>
      <c r="AK20" s="156"/>
      <c r="AL20" s="157"/>
      <c r="AM20" s="155" t="s">
        <v>29</v>
      </c>
      <c r="AN20" s="156"/>
      <c r="AO20" s="156"/>
      <c r="AP20" s="157"/>
      <c r="AQ20" s="180" t="s">
        <v>30</v>
      </c>
      <c r="AR20" s="156"/>
      <c r="AS20" s="156"/>
      <c r="AT20" s="157"/>
      <c r="AU20" s="155" t="s">
        <v>31</v>
      </c>
      <c r="AV20" s="156"/>
      <c r="AW20" s="156"/>
      <c r="AX20" s="157"/>
      <c r="AY20" s="155" t="s">
        <v>32</v>
      </c>
      <c r="AZ20" s="156"/>
      <c r="BA20" s="156"/>
      <c r="BB20" s="157"/>
      <c r="BC20" s="25"/>
      <c r="BD20" s="25"/>
      <c r="BE20" s="25"/>
      <c r="BF20" s="25"/>
      <c r="BG20" s="25"/>
    </row>
    <row r="21" spans="1:65" s="29" customFormat="1" ht="57" thickBot="1" x14ac:dyDescent="0.3">
      <c r="A21" s="170"/>
      <c r="B21" s="168"/>
      <c r="C21" s="168"/>
      <c r="D21" s="168"/>
      <c r="E21" s="168"/>
      <c r="F21" s="168"/>
      <c r="G21" s="168"/>
      <c r="H21" s="203"/>
      <c r="I21" s="33" t="s">
        <v>33</v>
      </c>
      <c r="J21" s="34" t="s">
        <v>34</v>
      </c>
      <c r="K21" s="34" t="s">
        <v>35</v>
      </c>
      <c r="L21" s="34" t="s">
        <v>36</v>
      </c>
      <c r="M21" s="34" t="s">
        <v>37</v>
      </c>
      <c r="N21" s="46" t="s">
        <v>38</v>
      </c>
      <c r="O21" s="143" t="s">
        <v>39</v>
      </c>
      <c r="P21" s="144" t="s">
        <v>40</v>
      </c>
      <c r="Q21" s="145" t="s">
        <v>41</v>
      </c>
      <c r="R21" s="144" t="s">
        <v>42</v>
      </c>
      <c r="S21" s="46" t="s">
        <v>43</v>
      </c>
      <c r="T21" s="143" t="s">
        <v>39</v>
      </c>
      <c r="U21" s="144" t="s">
        <v>40</v>
      </c>
      <c r="V21" s="145" t="s">
        <v>41</v>
      </c>
      <c r="W21" s="144" t="s">
        <v>42</v>
      </c>
      <c r="X21" s="146" t="s">
        <v>43</v>
      </c>
      <c r="Y21" s="147" t="s">
        <v>39</v>
      </c>
      <c r="Z21" s="144" t="s">
        <v>40</v>
      </c>
      <c r="AA21" s="145" t="s">
        <v>41</v>
      </c>
      <c r="AB21" s="144" t="s">
        <v>42</v>
      </c>
      <c r="AC21" s="146" t="s">
        <v>43</v>
      </c>
      <c r="AD21" s="147" t="s">
        <v>39</v>
      </c>
      <c r="AE21" s="144" t="s">
        <v>40</v>
      </c>
      <c r="AF21" s="145" t="s">
        <v>41</v>
      </c>
      <c r="AG21" s="144" t="s">
        <v>42</v>
      </c>
      <c r="AH21" s="146" t="s">
        <v>43</v>
      </c>
      <c r="AI21" s="41" t="s">
        <v>44</v>
      </c>
      <c r="AJ21" s="42" t="s">
        <v>45</v>
      </c>
      <c r="AK21" s="42" t="s">
        <v>46</v>
      </c>
      <c r="AL21" s="43" t="s">
        <v>47</v>
      </c>
      <c r="AM21" s="44" t="s">
        <v>44</v>
      </c>
      <c r="AN21" s="42" t="s">
        <v>45</v>
      </c>
      <c r="AO21" s="42" t="s">
        <v>48</v>
      </c>
      <c r="AP21" s="43" t="s">
        <v>47</v>
      </c>
      <c r="AQ21" s="41" t="s">
        <v>44</v>
      </c>
      <c r="AR21" s="42" t="s">
        <v>45</v>
      </c>
      <c r="AS21" s="42" t="s">
        <v>49</v>
      </c>
      <c r="AT21" s="43" t="s">
        <v>47</v>
      </c>
      <c r="AU21" s="44" t="s">
        <v>44</v>
      </c>
      <c r="AV21" s="42" t="s">
        <v>45</v>
      </c>
      <c r="AW21" s="42" t="s">
        <v>50</v>
      </c>
      <c r="AX21" s="43" t="s">
        <v>47</v>
      </c>
      <c r="AY21" s="44" t="s">
        <v>44</v>
      </c>
      <c r="AZ21" s="42" t="s">
        <v>45</v>
      </c>
      <c r="BA21" s="42" t="s">
        <v>51</v>
      </c>
      <c r="BB21" s="43" t="s">
        <v>47</v>
      </c>
      <c r="BC21" s="27"/>
      <c r="BD21" s="28"/>
      <c r="BE21" s="28"/>
      <c r="BF21" s="28"/>
      <c r="BG21" s="28"/>
      <c r="BM21" s="27" t="s">
        <v>10</v>
      </c>
    </row>
    <row r="22" spans="1:65" s="210" customFormat="1" ht="259.5" customHeight="1" x14ac:dyDescent="0.25">
      <c r="A22" s="213" t="s">
        <v>384</v>
      </c>
      <c r="B22" s="214">
        <v>1</v>
      </c>
      <c r="C22" s="215" t="s">
        <v>52</v>
      </c>
      <c r="D22" s="216" t="s">
        <v>53</v>
      </c>
      <c r="E22" s="216" t="s">
        <v>54</v>
      </c>
      <c r="F22" s="216" t="s">
        <v>55</v>
      </c>
      <c r="G22" s="217" t="s">
        <v>10</v>
      </c>
      <c r="H22" s="218" t="s">
        <v>56</v>
      </c>
      <c r="I22" s="219" t="s">
        <v>57</v>
      </c>
      <c r="J22" s="220" t="s">
        <v>58</v>
      </c>
      <c r="K22" s="220" t="s">
        <v>367</v>
      </c>
      <c r="L22" s="220" t="s">
        <v>59</v>
      </c>
      <c r="M22" s="220" t="s">
        <v>368</v>
      </c>
      <c r="N22" s="221" t="s">
        <v>60</v>
      </c>
      <c r="O22" s="74" t="s">
        <v>61</v>
      </c>
      <c r="P22" s="75" t="s">
        <v>61</v>
      </c>
      <c r="Q22" s="75" t="s">
        <v>61</v>
      </c>
      <c r="R22" s="76" t="s">
        <v>249</v>
      </c>
      <c r="S22" s="77" t="s">
        <v>250</v>
      </c>
      <c r="T22" s="74" t="s">
        <v>61</v>
      </c>
      <c r="U22" s="75" t="s">
        <v>61</v>
      </c>
      <c r="V22" s="75" t="s">
        <v>61</v>
      </c>
      <c r="W22" s="78" t="s">
        <v>267</v>
      </c>
      <c r="X22" s="79" t="s">
        <v>268</v>
      </c>
      <c r="Y22" s="219" t="s">
        <v>364</v>
      </c>
      <c r="Z22" s="222" t="s">
        <v>61</v>
      </c>
      <c r="AA22" s="223" t="s">
        <v>61</v>
      </c>
      <c r="AB22" s="224" t="s">
        <v>366</v>
      </c>
      <c r="AC22" s="225" t="s">
        <v>365</v>
      </c>
      <c r="AD22" s="226"/>
      <c r="AE22" s="227"/>
      <c r="AF22" s="228"/>
      <c r="AG22" s="216"/>
      <c r="AH22" s="229"/>
      <c r="AI22" s="230">
        <v>0.49299999999999999</v>
      </c>
      <c r="AJ22" s="231">
        <v>0.51500000000000001</v>
      </c>
      <c r="AK22" s="232">
        <v>1</v>
      </c>
      <c r="AL22" s="233">
        <f>51.5/60</f>
        <v>0.85833333333333328</v>
      </c>
      <c r="AM22" s="234" t="str">
        <f>J22</f>
        <v xml:space="preserve">81,13%
(meta establecida con el anterior IGPL, modificada para 2022-2024)
</v>
      </c>
      <c r="AN22" s="235">
        <v>0.75800000000000001</v>
      </c>
      <c r="AO22" s="235">
        <f>75.8/81.13</f>
        <v>0.93430297054110689</v>
      </c>
      <c r="AP22" s="236">
        <f>51.5/60</f>
        <v>0.85833333333333328</v>
      </c>
      <c r="AQ22" s="237">
        <v>0.70569999999999999</v>
      </c>
      <c r="AR22" s="238">
        <v>0.71130000000000004</v>
      </c>
      <c r="AS22" s="238">
        <v>1</v>
      </c>
      <c r="AT22" s="239">
        <v>0.5</v>
      </c>
      <c r="AU22" s="240">
        <v>0.72629999999999995</v>
      </c>
      <c r="AV22" s="238">
        <v>0.5706</v>
      </c>
      <c r="AW22" s="241">
        <f>AV22/AU22</f>
        <v>0.78562577447335813</v>
      </c>
      <c r="AX22" s="239">
        <f>((AR22/AQ22)+(AV22/AU22))/2</f>
        <v>0.89678057889035634</v>
      </c>
      <c r="AY22" s="242"/>
      <c r="AZ22" s="241"/>
      <c r="BA22" s="241"/>
      <c r="BB22" s="243"/>
      <c r="BC22" s="208"/>
      <c r="BD22" s="209"/>
      <c r="BE22" s="209"/>
      <c r="BF22" s="209"/>
      <c r="BG22" s="209"/>
      <c r="BM22" s="244"/>
    </row>
    <row r="23" spans="1:65" s="210" customFormat="1" ht="212.25" customHeight="1" x14ac:dyDescent="0.25">
      <c r="A23" s="245" t="s">
        <v>384</v>
      </c>
      <c r="B23" s="246">
        <v>2</v>
      </c>
      <c r="C23" s="247" t="s">
        <v>62</v>
      </c>
      <c r="D23" s="248" t="s">
        <v>63</v>
      </c>
      <c r="E23" s="248" t="s">
        <v>64</v>
      </c>
      <c r="F23" s="249" t="s">
        <v>65</v>
      </c>
      <c r="G23" s="250" t="s">
        <v>16</v>
      </c>
      <c r="H23" s="251" t="s">
        <v>66</v>
      </c>
      <c r="I23" s="252">
        <v>0.05</v>
      </c>
      <c r="J23" s="253">
        <v>0.25</v>
      </c>
      <c r="K23" s="253">
        <v>0.3</v>
      </c>
      <c r="L23" s="253">
        <v>0.25</v>
      </c>
      <c r="M23" s="253">
        <v>0.15</v>
      </c>
      <c r="N23" s="254">
        <f>SUM(I23:M23)</f>
        <v>1</v>
      </c>
      <c r="O23" s="80">
        <v>0.06</v>
      </c>
      <c r="P23" s="81">
        <v>0.06</v>
      </c>
      <c r="Q23" s="82">
        <v>1</v>
      </c>
      <c r="R23" s="83" t="s">
        <v>208</v>
      </c>
      <c r="S23" s="84" t="s">
        <v>194</v>
      </c>
      <c r="T23" s="80">
        <v>7.0000000000000007E-2</v>
      </c>
      <c r="U23" s="81">
        <v>7.0000000000000007E-2</v>
      </c>
      <c r="V23" s="82">
        <v>1</v>
      </c>
      <c r="W23" s="83" t="s">
        <v>271</v>
      </c>
      <c r="X23" s="85" t="s">
        <v>300</v>
      </c>
      <c r="Y23" s="255">
        <v>0.06</v>
      </c>
      <c r="Z23" s="256">
        <v>0.06</v>
      </c>
      <c r="AA23" s="257">
        <v>1</v>
      </c>
      <c r="AB23" s="249" t="s">
        <v>323</v>
      </c>
      <c r="AC23" s="258" t="s">
        <v>300</v>
      </c>
      <c r="AD23" s="259"/>
      <c r="AE23" s="250"/>
      <c r="AF23" s="260"/>
      <c r="AG23" s="59"/>
      <c r="AH23" s="71"/>
      <c r="AI23" s="261">
        <v>0.05</v>
      </c>
      <c r="AJ23" s="262">
        <v>0.05</v>
      </c>
      <c r="AK23" s="260">
        <v>1</v>
      </c>
      <c r="AL23" s="263">
        <f>0.05/1</f>
        <v>0.05</v>
      </c>
      <c r="AM23" s="87">
        <f>+J23</f>
        <v>0.25</v>
      </c>
      <c r="AN23" s="81">
        <v>0.25</v>
      </c>
      <c r="AO23" s="99">
        <f>AN23/AM23</f>
        <v>1</v>
      </c>
      <c r="AP23" s="264">
        <f>AJ23+AN23</f>
        <v>0.3</v>
      </c>
      <c r="AQ23" s="265">
        <v>0.3</v>
      </c>
      <c r="AR23" s="266">
        <v>0.3</v>
      </c>
      <c r="AS23" s="257">
        <v>1.0000000000000002</v>
      </c>
      <c r="AT23" s="267">
        <v>0.60000000000000009</v>
      </c>
      <c r="AU23" s="268">
        <f t="shared" ref="AU23:AU56" si="0">L23</f>
        <v>0.25</v>
      </c>
      <c r="AV23" s="256">
        <f>O23+T23+Y23</f>
        <v>0.19</v>
      </c>
      <c r="AW23" s="269">
        <f t="shared" ref="AW23:AW29" si="1">AV23/AU23</f>
        <v>0.76</v>
      </c>
      <c r="AX23" s="270">
        <f>AT23+(AU23*AW23)</f>
        <v>0.79</v>
      </c>
      <c r="AY23" s="271"/>
      <c r="AZ23" s="272"/>
      <c r="BA23" s="272"/>
      <c r="BB23" s="273"/>
      <c r="BC23" s="209"/>
      <c r="BD23" s="209"/>
      <c r="BE23" s="209"/>
      <c r="BF23" s="209"/>
      <c r="BG23" s="209"/>
      <c r="BM23" s="244"/>
    </row>
    <row r="24" spans="1:65" s="210" customFormat="1" ht="101.1" customHeight="1" x14ac:dyDescent="0.25">
      <c r="A24" s="245" t="s">
        <v>384</v>
      </c>
      <c r="B24" s="246">
        <v>3</v>
      </c>
      <c r="C24" s="274" t="s">
        <v>67</v>
      </c>
      <c r="D24" s="248" t="s">
        <v>63</v>
      </c>
      <c r="E24" s="248" t="s">
        <v>68</v>
      </c>
      <c r="F24" s="249" t="s">
        <v>69</v>
      </c>
      <c r="G24" s="250" t="s">
        <v>12</v>
      </c>
      <c r="H24" s="251" t="s">
        <v>70</v>
      </c>
      <c r="I24" s="275">
        <v>20</v>
      </c>
      <c r="J24" s="276">
        <v>20</v>
      </c>
      <c r="K24" s="276">
        <v>20</v>
      </c>
      <c r="L24" s="276">
        <v>20</v>
      </c>
      <c r="M24" s="276">
        <v>20</v>
      </c>
      <c r="N24" s="254">
        <v>100</v>
      </c>
      <c r="O24" s="86" t="s">
        <v>61</v>
      </c>
      <c r="P24" s="82" t="s">
        <v>61</v>
      </c>
      <c r="Q24" s="82" t="s">
        <v>61</v>
      </c>
      <c r="R24" s="83" t="s">
        <v>209</v>
      </c>
      <c r="S24" s="84" t="s">
        <v>210</v>
      </c>
      <c r="T24" s="87">
        <v>10</v>
      </c>
      <c r="U24" s="88">
        <v>10</v>
      </c>
      <c r="V24" s="82">
        <v>1</v>
      </c>
      <c r="W24" s="83" t="s">
        <v>270</v>
      </c>
      <c r="X24" s="135" t="s">
        <v>301</v>
      </c>
      <c r="Y24" s="277">
        <v>8</v>
      </c>
      <c r="Z24" s="278">
        <v>8</v>
      </c>
      <c r="AA24" s="257">
        <v>1</v>
      </c>
      <c r="AB24" s="249" t="s">
        <v>324</v>
      </c>
      <c r="AC24" s="258" t="s">
        <v>322</v>
      </c>
      <c r="AD24" s="259"/>
      <c r="AE24" s="250"/>
      <c r="AF24" s="260"/>
      <c r="AG24" s="59"/>
      <c r="AH24" s="71"/>
      <c r="AI24" s="259">
        <v>20</v>
      </c>
      <c r="AJ24" s="250">
        <v>20</v>
      </c>
      <c r="AK24" s="260">
        <v>1</v>
      </c>
      <c r="AL24" s="279">
        <v>0.2</v>
      </c>
      <c r="AM24" s="87">
        <f>+J24</f>
        <v>20</v>
      </c>
      <c r="AN24" s="280">
        <v>20</v>
      </c>
      <c r="AO24" s="99">
        <f>+AN24/AM24</f>
        <v>1</v>
      </c>
      <c r="AP24" s="264">
        <f>AL24+(20%*AO24)</f>
        <v>0.4</v>
      </c>
      <c r="AQ24" s="281">
        <v>20</v>
      </c>
      <c r="AR24" s="282">
        <v>20</v>
      </c>
      <c r="AS24" s="257">
        <v>1</v>
      </c>
      <c r="AT24" s="283">
        <v>0.60000000000000009</v>
      </c>
      <c r="AU24" s="284">
        <f t="shared" si="0"/>
        <v>20</v>
      </c>
      <c r="AV24" s="285">
        <f>T24+Y24</f>
        <v>18</v>
      </c>
      <c r="AW24" s="269">
        <f t="shared" si="1"/>
        <v>0.9</v>
      </c>
      <c r="AX24" s="286">
        <f>(AJ24+AN24+AR24+AV24)/100</f>
        <v>0.78</v>
      </c>
      <c r="AY24" s="259"/>
      <c r="AZ24" s="250"/>
      <c r="BA24" s="250"/>
      <c r="BB24" s="251"/>
      <c r="BC24" s="208"/>
      <c r="BD24" s="209"/>
      <c r="BE24" s="209"/>
      <c r="BF24" s="209"/>
      <c r="BG24" s="209"/>
      <c r="BM24" s="244"/>
    </row>
    <row r="25" spans="1:65" s="210" customFormat="1" ht="324" customHeight="1" x14ac:dyDescent="0.25">
      <c r="A25" s="287" t="s">
        <v>385</v>
      </c>
      <c r="B25" s="288">
        <v>4</v>
      </c>
      <c r="C25" s="247" t="s">
        <v>71</v>
      </c>
      <c r="D25" s="248" t="s">
        <v>72</v>
      </c>
      <c r="E25" s="248" t="s">
        <v>73</v>
      </c>
      <c r="F25" s="249" t="s">
        <v>74</v>
      </c>
      <c r="G25" s="250" t="s">
        <v>10</v>
      </c>
      <c r="H25" s="251" t="s">
        <v>75</v>
      </c>
      <c r="I25" s="252">
        <v>0.3</v>
      </c>
      <c r="J25" s="253">
        <v>0.5</v>
      </c>
      <c r="K25" s="253">
        <v>0.7</v>
      </c>
      <c r="L25" s="253">
        <v>0.95</v>
      </c>
      <c r="M25" s="253">
        <v>1</v>
      </c>
      <c r="N25" s="254">
        <v>1</v>
      </c>
      <c r="O25" s="87">
        <v>0.04</v>
      </c>
      <c r="P25" s="88">
        <v>0.04</v>
      </c>
      <c r="Q25" s="82">
        <v>1</v>
      </c>
      <c r="R25" s="83" t="s">
        <v>240</v>
      </c>
      <c r="S25" s="84" t="s">
        <v>229</v>
      </c>
      <c r="T25" s="87">
        <v>0.1</v>
      </c>
      <c r="U25" s="88">
        <v>0.1</v>
      </c>
      <c r="V25" s="82">
        <v>1</v>
      </c>
      <c r="W25" s="83" t="s">
        <v>260</v>
      </c>
      <c r="X25" s="85" t="s">
        <v>259</v>
      </c>
      <c r="Y25" s="255">
        <v>7.0000000000000007E-2</v>
      </c>
      <c r="Z25" s="256">
        <v>7.0000000000000007E-2</v>
      </c>
      <c r="AA25" s="257">
        <v>1</v>
      </c>
      <c r="AB25" s="249" t="s">
        <v>371</v>
      </c>
      <c r="AC25" s="71" t="s">
        <v>372</v>
      </c>
      <c r="AD25" s="265"/>
      <c r="AE25" s="278"/>
      <c r="AF25" s="289"/>
      <c r="AG25" s="59"/>
      <c r="AH25" s="71"/>
      <c r="AI25" s="259">
        <v>0.3</v>
      </c>
      <c r="AJ25" s="250">
        <v>0.3</v>
      </c>
      <c r="AK25" s="269">
        <v>1</v>
      </c>
      <c r="AL25" s="283">
        <v>0.3</v>
      </c>
      <c r="AM25" s="87">
        <v>0.5</v>
      </c>
      <c r="AN25" s="81">
        <v>0.5</v>
      </c>
      <c r="AO25" s="99">
        <v>1</v>
      </c>
      <c r="AP25" s="264">
        <f>AN25/N25</f>
        <v>0.5</v>
      </c>
      <c r="AQ25" s="265">
        <v>0.7</v>
      </c>
      <c r="AR25" s="266">
        <v>0.7</v>
      </c>
      <c r="AS25" s="257">
        <v>1</v>
      </c>
      <c r="AT25" s="267">
        <v>0.70000000000000007</v>
      </c>
      <c r="AU25" s="268">
        <f t="shared" si="0"/>
        <v>0.95</v>
      </c>
      <c r="AV25" s="256">
        <f>AR25+O25+T25+Y25</f>
        <v>0.90999999999999992</v>
      </c>
      <c r="AW25" s="290">
        <f t="shared" si="1"/>
        <v>0.95789473684210524</v>
      </c>
      <c r="AX25" s="270">
        <f>AV25/1</f>
        <v>0.90999999999999992</v>
      </c>
      <c r="AY25" s="291"/>
      <c r="AZ25" s="292"/>
      <c r="BA25" s="292"/>
      <c r="BB25" s="293"/>
      <c r="BC25" s="209"/>
      <c r="BD25" s="209"/>
      <c r="BE25" s="209"/>
      <c r="BF25" s="209"/>
      <c r="BG25" s="209"/>
      <c r="BM25" s="209"/>
    </row>
    <row r="26" spans="1:65" s="210" customFormat="1" ht="393" customHeight="1" x14ac:dyDescent="0.25">
      <c r="A26" s="287" t="s">
        <v>385</v>
      </c>
      <c r="B26" s="294">
        <v>5</v>
      </c>
      <c r="C26" s="295" t="s">
        <v>76</v>
      </c>
      <c r="D26" s="248" t="s">
        <v>77</v>
      </c>
      <c r="E26" s="248" t="s">
        <v>78</v>
      </c>
      <c r="F26" s="249" t="s">
        <v>78</v>
      </c>
      <c r="G26" s="250" t="s">
        <v>10</v>
      </c>
      <c r="H26" s="251" t="s">
        <v>79</v>
      </c>
      <c r="I26" s="252">
        <v>0.1</v>
      </c>
      <c r="J26" s="253">
        <v>0.4</v>
      </c>
      <c r="K26" s="253">
        <v>0.65</v>
      </c>
      <c r="L26" s="253">
        <v>0.95</v>
      </c>
      <c r="M26" s="253">
        <v>1</v>
      </c>
      <c r="N26" s="254">
        <v>1</v>
      </c>
      <c r="O26" s="87">
        <v>0.1</v>
      </c>
      <c r="P26" s="88">
        <v>0.1</v>
      </c>
      <c r="Q26" s="82">
        <v>1</v>
      </c>
      <c r="R26" s="89" t="s">
        <v>230</v>
      </c>
      <c r="S26" s="90" t="s">
        <v>231</v>
      </c>
      <c r="T26" s="80">
        <v>0.09</v>
      </c>
      <c r="U26" s="81">
        <v>0.09</v>
      </c>
      <c r="V26" s="82">
        <v>1</v>
      </c>
      <c r="W26" s="83" t="s">
        <v>261</v>
      </c>
      <c r="X26" s="91" t="s">
        <v>302</v>
      </c>
      <c r="Y26" s="255">
        <v>0.04</v>
      </c>
      <c r="Z26" s="256">
        <v>0.04</v>
      </c>
      <c r="AA26" s="257">
        <v>1</v>
      </c>
      <c r="AB26" s="296" t="s">
        <v>374</v>
      </c>
      <c r="AC26" s="71" t="s">
        <v>373</v>
      </c>
      <c r="AD26" s="297"/>
      <c r="AE26" s="298"/>
      <c r="AF26" s="289"/>
      <c r="AG26" s="59"/>
      <c r="AH26" s="71"/>
      <c r="AI26" s="259">
        <v>0.1</v>
      </c>
      <c r="AJ26" s="250">
        <v>0.1</v>
      </c>
      <c r="AK26" s="269">
        <v>1</v>
      </c>
      <c r="AL26" s="283">
        <v>0.1</v>
      </c>
      <c r="AM26" s="87">
        <v>0.4</v>
      </c>
      <c r="AN26" s="299">
        <v>0.4</v>
      </c>
      <c r="AO26" s="99">
        <f>AN26/AM26</f>
        <v>1</v>
      </c>
      <c r="AP26" s="300">
        <f>AN26/N26</f>
        <v>0.4</v>
      </c>
      <c r="AQ26" s="259">
        <v>0.65</v>
      </c>
      <c r="AR26" s="262">
        <v>0.65</v>
      </c>
      <c r="AS26" s="301">
        <v>1</v>
      </c>
      <c r="AT26" s="263">
        <v>0.64999999999999991</v>
      </c>
      <c r="AU26" s="268">
        <f t="shared" si="0"/>
        <v>0.95</v>
      </c>
      <c r="AV26" s="256">
        <f>AR26+O26+T26+Y26</f>
        <v>0.88</v>
      </c>
      <c r="AW26" s="302">
        <f t="shared" si="1"/>
        <v>0.9263157894736842</v>
      </c>
      <c r="AX26" s="270">
        <f>AV26/1</f>
        <v>0.88</v>
      </c>
      <c r="AY26" s="259"/>
      <c r="AZ26" s="250"/>
      <c r="BA26" s="250"/>
      <c r="BB26" s="251"/>
    </row>
    <row r="27" spans="1:65" s="210" customFormat="1" ht="239.25" customHeight="1" x14ac:dyDescent="0.25">
      <c r="A27" s="287" t="s">
        <v>385</v>
      </c>
      <c r="B27" s="303">
        <v>5</v>
      </c>
      <c r="C27" s="295" t="s">
        <v>76</v>
      </c>
      <c r="D27" s="248" t="s">
        <v>80</v>
      </c>
      <c r="E27" s="248" t="s">
        <v>78</v>
      </c>
      <c r="F27" s="249" t="s">
        <v>81</v>
      </c>
      <c r="G27" s="250" t="s">
        <v>12</v>
      </c>
      <c r="H27" s="251" t="s">
        <v>79</v>
      </c>
      <c r="I27" s="252">
        <v>1</v>
      </c>
      <c r="J27" s="253">
        <v>1</v>
      </c>
      <c r="K27" s="253">
        <v>1</v>
      </c>
      <c r="L27" s="253">
        <v>1</v>
      </c>
      <c r="M27" s="253">
        <v>1</v>
      </c>
      <c r="N27" s="254">
        <v>1</v>
      </c>
      <c r="O27" s="80">
        <v>0.04</v>
      </c>
      <c r="P27" s="81">
        <v>0.04</v>
      </c>
      <c r="Q27" s="82">
        <v>1</v>
      </c>
      <c r="R27" s="83" t="s">
        <v>211</v>
      </c>
      <c r="S27" s="84" t="s">
        <v>195</v>
      </c>
      <c r="T27" s="92">
        <v>0.34</v>
      </c>
      <c r="U27" s="81">
        <v>0.34</v>
      </c>
      <c r="V27" s="82">
        <v>1</v>
      </c>
      <c r="W27" s="83" t="s">
        <v>272</v>
      </c>
      <c r="X27" s="93" t="s">
        <v>303</v>
      </c>
      <c r="Y27" s="304">
        <v>0.43</v>
      </c>
      <c r="Z27" s="305">
        <v>0.43</v>
      </c>
      <c r="AA27" s="257">
        <v>1</v>
      </c>
      <c r="AB27" s="249" t="s">
        <v>325</v>
      </c>
      <c r="AC27" s="258" t="s">
        <v>326</v>
      </c>
      <c r="AD27" s="259"/>
      <c r="AE27" s="250"/>
      <c r="AF27" s="306"/>
      <c r="AG27" s="59"/>
      <c r="AH27" s="71"/>
      <c r="AI27" s="259">
        <v>1</v>
      </c>
      <c r="AJ27" s="250">
        <v>1</v>
      </c>
      <c r="AK27" s="260">
        <f>+AJ27/AI27</f>
        <v>1</v>
      </c>
      <c r="AL27" s="279">
        <v>0.2</v>
      </c>
      <c r="AM27" s="102">
        <v>1</v>
      </c>
      <c r="AN27" s="103">
        <v>1</v>
      </c>
      <c r="AO27" s="99">
        <f>AN27/AM27</f>
        <v>1</v>
      </c>
      <c r="AP27" s="264">
        <f>AL27+(20%*AO27)</f>
        <v>0.4</v>
      </c>
      <c r="AQ27" s="281">
        <v>1</v>
      </c>
      <c r="AR27" s="282">
        <v>1</v>
      </c>
      <c r="AS27" s="257">
        <v>1</v>
      </c>
      <c r="AT27" s="283">
        <v>0.6</v>
      </c>
      <c r="AU27" s="284">
        <f t="shared" si="0"/>
        <v>1</v>
      </c>
      <c r="AV27" s="256">
        <f>O27+T27+Y27</f>
        <v>0.81</v>
      </c>
      <c r="AW27" s="269">
        <f t="shared" si="1"/>
        <v>0.81</v>
      </c>
      <c r="AX27" s="307">
        <f>(AT27+(20%*AW27))/1</f>
        <v>0.76200000000000001</v>
      </c>
      <c r="AY27" s="308"/>
      <c r="AZ27" s="269"/>
      <c r="BA27" s="269"/>
      <c r="BB27" s="270"/>
      <c r="BC27" s="209"/>
    </row>
    <row r="28" spans="1:65" s="210" customFormat="1" ht="232.5" customHeight="1" x14ac:dyDescent="0.25">
      <c r="A28" s="287" t="s">
        <v>385</v>
      </c>
      <c r="B28" s="246">
        <v>6</v>
      </c>
      <c r="C28" s="247" t="s">
        <v>82</v>
      </c>
      <c r="D28" s="248" t="s">
        <v>83</v>
      </c>
      <c r="E28" s="248" t="s">
        <v>84</v>
      </c>
      <c r="F28" s="249" t="s">
        <v>85</v>
      </c>
      <c r="G28" s="250" t="s">
        <v>16</v>
      </c>
      <c r="H28" s="251" t="s">
        <v>86</v>
      </c>
      <c r="I28" s="259" t="s">
        <v>87</v>
      </c>
      <c r="J28" s="253">
        <v>1</v>
      </c>
      <c r="K28" s="253">
        <v>1</v>
      </c>
      <c r="L28" s="253">
        <v>1</v>
      </c>
      <c r="M28" s="253">
        <v>1</v>
      </c>
      <c r="N28" s="254">
        <v>4</v>
      </c>
      <c r="O28" s="94">
        <v>0.25</v>
      </c>
      <c r="P28" s="95">
        <v>0.25</v>
      </c>
      <c r="Q28" s="96">
        <v>1</v>
      </c>
      <c r="R28" s="97" t="s">
        <v>241</v>
      </c>
      <c r="S28" s="98" t="s">
        <v>242</v>
      </c>
      <c r="T28" s="94">
        <v>0.5</v>
      </c>
      <c r="U28" s="95">
        <v>0.5</v>
      </c>
      <c r="V28" s="96">
        <v>1</v>
      </c>
      <c r="W28" s="59" t="s">
        <v>269</v>
      </c>
      <c r="X28" s="71" t="s">
        <v>244</v>
      </c>
      <c r="Y28" s="255">
        <v>0.75</v>
      </c>
      <c r="Z28" s="256">
        <v>0.75</v>
      </c>
      <c r="AA28" s="257">
        <v>1</v>
      </c>
      <c r="AB28" s="309" t="s">
        <v>369</v>
      </c>
      <c r="AC28" s="310" t="s">
        <v>370</v>
      </c>
      <c r="AD28" s="255"/>
      <c r="AE28" s="256"/>
      <c r="AF28" s="257"/>
      <c r="AG28" s="309"/>
      <c r="AH28" s="310"/>
      <c r="AI28" s="281" t="s">
        <v>88</v>
      </c>
      <c r="AJ28" s="282" t="s">
        <v>88</v>
      </c>
      <c r="AK28" s="282" t="s">
        <v>88</v>
      </c>
      <c r="AL28" s="279">
        <v>0</v>
      </c>
      <c r="AM28" s="311">
        <v>1</v>
      </c>
      <c r="AN28" s="312">
        <v>1</v>
      </c>
      <c r="AO28" s="99">
        <v>1</v>
      </c>
      <c r="AP28" s="264">
        <v>0.25</v>
      </c>
      <c r="AQ28" s="313">
        <v>1</v>
      </c>
      <c r="AR28" s="314">
        <v>1</v>
      </c>
      <c r="AS28" s="257">
        <v>1</v>
      </c>
      <c r="AT28" s="267">
        <v>0.5</v>
      </c>
      <c r="AU28" s="284">
        <f t="shared" si="0"/>
        <v>1</v>
      </c>
      <c r="AV28" s="315">
        <v>0.75</v>
      </c>
      <c r="AW28" s="257">
        <f t="shared" si="1"/>
        <v>0.75</v>
      </c>
      <c r="AX28" s="316">
        <f>AT28+(AW28*25%)</f>
        <v>0.6875</v>
      </c>
      <c r="AY28" s="317"/>
      <c r="AZ28" s="318"/>
      <c r="BA28" s="318"/>
      <c r="BB28" s="319"/>
    </row>
    <row r="29" spans="1:65" ht="246.75" customHeight="1" x14ac:dyDescent="0.25">
      <c r="A29" s="287" t="s">
        <v>385</v>
      </c>
      <c r="B29" s="246">
        <v>7</v>
      </c>
      <c r="C29" s="320" t="s">
        <v>89</v>
      </c>
      <c r="D29" s="248" t="s">
        <v>90</v>
      </c>
      <c r="E29" s="248" t="s">
        <v>91</v>
      </c>
      <c r="F29" s="249" t="s">
        <v>92</v>
      </c>
      <c r="G29" s="250" t="s">
        <v>16</v>
      </c>
      <c r="H29" s="251" t="s">
        <v>93</v>
      </c>
      <c r="I29" s="252">
        <v>1</v>
      </c>
      <c r="J29" s="253">
        <v>3</v>
      </c>
      <c r="K29" s="253">
        <v>3</v>
      </c>
      <c r="L29" s="253">
        <v>3</v>
      </c>
      <c r="M29" s="253">
        <v>2</v>
      </c>
      <c r="N29" s="254">
        <v>12</v>
      </c>
      <c r="O29" s="87">
        <v>0.99</v>
      </c>
      <c r="P29" s="88">
        <v>0.99</v>
      </c>
      <c r="Q29" s="99">
        <v>1</v>
      </c>
      <c r="R29" s="83" t="s">
        <v>220</v>
      </c>
      <c r="S29" s="84" t="s">
        <v>298</v>
      </c>
      <c r="T29" s="87">
        <v>0.99</v>
      </c>
      <c r="U29" s="88">
        <v>0.99</v>
      </c>
      <c r="V29" s="99">
        <v>1</v>
      </c>
      <c r="W29" s="100" t="s">
        <v>284</v>
      </c>
      <c r="X29" s="85" t="s">
        <v>285</v>
      </c>
      <c r="Y29" s="304">
        <v>1.98</v>
      </c>
      <c r="Z29" s="305">
        <v>1.98</v>
      </c>
      <c r="AA29" s="321">
        <v>1</v>
      </c>
      <c r="AB29" s="59" t="s">
        <v>346</v>
      </c>
      <c r="AC29" s="322" t="s">
        <v>345</v>
      </c>
      <c r="AD29" s="323"/>
      <c r="AE29" s="324"/>
      <c r="AF29" s="289"/>
      <c r="AG29" s="287"/>
      <c r="AH29" s="71"/>
      <c r="AI29" s="259">
        <v>1</v>
      </c>
      <c r="AJ29" s="250">
        <v>1</v>
      </c>
      <c r="AK29" s="260">
        <v>1</v>
      </c>
      <c r="AL29" s="325">
        <f>1/12</f>
        <v>8.3333333333333329E-2</v>
      </c>
      <c r="AM29" s="326">
        <v>3</v>
      </c>
      <c r="AN29" s="327">
        <v>3</v>
      </c>
      <c r="AO29" s="82">
        <f>AN29/AM29</f>
        <v>1</v>
      </c>
      <c r="AP29" s="300">
        <f>(AJ29+AN29)/12</f>
        <v>0.33333333333333331</v>
      </c>
      <c r="AQ29" s="328">
        <v>3</v>
      </c>
      <c r="AR29" s="329">
        <v>3</v>
      </c>
      <c r="AS29" s="260">
        <v>1</v>
      </c>
      <c r="AT29" s="279">
        <v>0.57999999999999996</v>
      </c>
      <c r="AU29" s="284">
        <f t="shared" si="0"/>
        <v>3</v>
      </c>
      <c r="AV29" s="262">
        <v>1.98</v>
      </c>
      <c r="AW29" s="330">
        <f t="shared" si="1"/>
        <v>0.66</v>
      </c>
      <c r="AX29" s="331">
        <f>(AJ29+AN29+AR29+AV29)/12</f>
        <v>0.74833333333333341</v>
      </c>
      <c r="AY29" s="332"/>
      <c r="AZ29" s="260"/>
      <c r="BA29" s="260"/>
      <c r="BB29" s="333"/>
    </row>
    <row r="30" spans="1:65" ht="126" x14ac:dyDescent="0.25">
      <c r="A30" s="287" t="s">
        <v>385</v>
      </c>
      <c r="B30" s="246">
        <v>8</v>
      </c>
      <c r="C30" s="274" t="s">
        <v>94</v>
      </c>
      <c r="D30" s="248" t="s">
        <v>95</v>
      </c>
      <c r="E30" s="248" t="s">
        <v>96</v>
      </c>
      <c r="F30" s="249" t="s">
        <v>97</v>
      </c>
      <c r="G30" s="250" t="s">
        <v>12</v>
      </c>
      <c r="H30" s="251" t="s">
        <v>98</v>
      </c>
      <c r="I30" s="252">
        <v>1</v>
      </c>
      <c r="J30" s="253">
        <v>1</v>
      </c>
      <c r="K30" s="253">
        <v>1</v>
      </c>
      <c r="L30" s="253">
        <v>1</v>
      </c>
      <c r="M30" s="253">
        <v>1</v>
      </c>
      <c r="N30" s="254">
        <v>1</v>
      </c>
      <c r="O30" s="87" t="s">
        <v>61</v>
      </c>
      <c r="P30" s="88" t="s">
        <v>61</v>
      </c>
      <c r="Q30" s="88" t="s">
        <v>61</v>
      </c>
      <c r="R30" s="83" t="s">
        <v>221</v>
      </c>
      <c r="S30" s="84" t="s">
        <v>297</v>
      </c>
      <c r="T30" s="87" t="s">
        <v>61</v>
      </c>
      <c r="U30" s="88" t="s">
        <v>61</v>
      </c>
      <c r="V30" s="88" t="s">
        <v>61</v>
      </c>
      <c r="W30" s="83" t="s">
        <v>286</v>
      </c>
      <c r="X30" s="101" t="s">
        <v>61</v>
      </c>
      <c r="Y30" s="142" t="s">
        <v>61</v>
      </c>
      <c r="Z30" s="88" t="s">
        <v>61</v>
      </c>
      <c r="AA30" s="88" t="s">
        <v>61</v>
      </c>
      <c r="AB30" s="249" t="s">
        <v>286</v>
      </c>
      <c r="AC30" s="334" t="s">
        <v>61</v>
      </c>
      <c r="AD30" s="265"/>
      <c r="AE30" s="278"/>
      <c r="AF30" s="335"/>
      <c r="AG30" s="249"/>
      <c r="AH30" s="258"/>
      <c r="AI30" s="265">
        <v>1</v>
      </c>
      <c r="AJ30" s="278">
        <v>1</v>
      </c>
      <c r="AK30" s="260">
        <v>1</v>
      </c>
      <c r="AL30" s="279">
        <v>0.2</v>
      </c>
      <c r="AM30" s="326">
        <v>1</v>
      </c>
      <c r="AN30" s="327">
        <v>1</v>
      </c>
      <c r="AO30" s="336">
        <v>1</v>
      </c>
      <c r="AP30" s="264">
        <f>(AK30+AO30)/5</f>
        <v>0.4</v>
      </c>
      <c r="AQ30" s="337">
        <v>1</v>
      </c>
      <c r="AR30" s="338">
        <v>1</v>
      </c>
      <c r="AS30" s="289">
        <v>1</v>
      </c>
      <c r="AT30" s="263">
        <v>0.60000000000000009</v>
      </c>
      <c r="AU30" s="284">
        <f t="shared" si="0"/>
        <v>1</v>
      </c>
      <c r="AV30" s="338">
        <v>0</v>
      </c>
      <c r="AW30" s="289">
        <v>0</v>
      </c>
      <c r="AX30" s="339">
        <v>0.6</v>
      </c>
      <c r="AY30" s="340"/>
      <c r="AZ30" s="289"/>
      <c r="BA30" s="289"/>
      <c r="BB30" s="339"/>
    </row>
    <row r="31" spans="1:65" ht="156" customHeight="1" x14ac:dyDescent="0.25">
      <c r="A31" s="287" t="s">
        <v>385</v>
      </c>
      <c r="B31" s="246">
        <v>9</v>
      </c>
      <c r="C31" s="247" t="s">
        <v>99</v>
      </c>
      <c r="D31" s="248" t="s">
        <v>100</v>
      </c>
      <c r="E31" s="248" t="s">
        <v>101</v>
      </c>
      <c r="F31" s="249" t="s">
        <v>102</v>
      </c>
      <c r="G31" s="250" t="s">
        <v>16</v>
      </c>
      <c r="H31" s="251" t="s">
        <v>75</v>
      </c>
      <c r="I31" s="252">
        <v>0.05</v>
      </c>
      <c r="J31" s="253">
        <v>0.3</v>
      </c>
      <c r="K31" s="253">
        <v>0.3</v>
      </c>
      <c r="L31" s="253">
        <v>0.3</v>
      </c>
      <c r="M31" s="253">
        <v>0.05</v>
      </c>
      <c r="N31" s="254">
        <f>SUM(I31:M31)</f>
        <v>1</v>
      </c>
      <c r="O31" s="80">
        <v>0.13</v>
      </c>
      <c r="P31" s="81">
        <v>0.13</v>
      </c>
      <c r="Q31" s="82">
        <v>1</v>
      </c>
      <c r="R31" s="83" t="s">
        <v>212</v>
      </c>
      <c r="S31" s="84" t="s">
        <v>196</v>
      </c>
      <c r="T31" s="80">
        <v>0.08</v>
      </c>
      <c r="U31" s="81">
        <v>0.08</v>
      </c>
      <c r="V31" s="82">
        <v>1</v>
      </c>
      <c r="W31" s="83" t="s">
        <v>273</v>
      </c>
      <c r="X31" s="60" t="s">
        <v>304</v>
      </c>
      <c r="Y31" s="255">
        <v>0.03</v>
      </c>
      <c r="Z31" s="256">
        <v>0.03</v>
      </c>
      <c r="AA31" s="257">
        <v>1</v>
      </c>
      <c r="AB31" s="249" t="s">
        <v>327</v>
      </c>
      <c r="AC31" s="258" t="s">
        <v>328</v>
      </c>
      <c r="AD31" s="261"/>
      <c r="AE31" s="262"/>
      <c r="AF31" s="289"/>
      <c r="AG31" s="59"/>
      <c r="AH31" s="71"/>
      <c r="AI31" s="261">
        <v>0.05</v>
      </c>
      <c r="AJ31" s="262">
        <v>0.05</v>
      </c>
      <c r="AK31" s="260">
        <v>1</v>
      </c>
      <c r="AL31" s="279">
        <v>0.05</v>
      </c>
      <c r="AM31" s="92">
        <v>0.3</v>
      </c>
      <c r="AN31" s="341">
        <v>0.3</v>
      </c>
      <c r="AO31" s="99">
        <f>AN31/AM31</f>
        <v>1</v>
      </c>
      <c r="AP31" s="264">
        <f>+(AJ31+AN31)/N31</f>
        <v>0.35</v>
      </c>
      <c r="AQ31" s="342">
        <v>0.3</v>
      </c>
      <c r="AR31" s="256">
        <v>0.3</v>
      </c>
      <c r="AS31" s="257">
        <v>1</v>
      </c>
      <c r="AT31" s="267">
        <v>0.64999999999999991</v>
      </c>
      <c r="AU31" s="268">
        <f t="shared" si="0"/>
        <v>0.3</v>
      </c>
      <c r="AV31" s="256">
        <f>O31+T31+Y31</f>
        <v>0.24000000000000002</v>
      </c>
      <c r="AW31" s="269">
        <f>AV31/AU31</f>
        <v>0.8</v>
      </c>
      <c r="AX31" s="316">
        <f>AT31+(AU31*AW31)</f>
        <v>0.8899999999999999</v>
      </c>
      <c r="AY31" s="340"/>
      <c r="AZ31" s="289"/>
      <c r="BA31" s="289"/>
      <c r="BB31" s="339"/>
    </row>
    <row r="32" spans="1:65" ht="110.25" x14ac:dyDescent="0.25">
      <c r="A32" s="212" t="s">
        <v>386</v>
      </c>
      <c r="B32" s="246">
        <v>10</v>
      </c>
      <c r="C32" s="320" t="s">
        <v>103</v>
      </c>
      <c r="D32" s="248" t="s">
        <v>104</v>
      </c>
      <c r="E32" s="248" t="s">
        <v>105</v>
      </c>
      <c r="F32" s="249" t="s">
        <v>106</v>
      </c>
      <c r="G32" s="250" t="s">
        <v>12</v>
      </c>
      <c r="H32" s="251" t="s">
        <v>107</v>
      </c>
      <c r="I32" s="343">
        <v>1</v>
      </c>
      <c r="J32" s="344">
        <v>1</v>
      </c>
      <c r="K32" s="344">
        <v>1</v>
      </c>
      <c r="L32" s="344">
        <v>1</v>
      </c>
      <c r="M32" s="344">
        <v>1</v>
      </c>
      <c r="N32" s="279">
        <v>1</v>
      </c>
      <c r="O32" s="86">
        <v>1</v>
      </c>
      <c r="P32" s="99">
        <v>1</v>
      </c>
      <c r="Q32" s="82">
        <v>1</v>
      </c>
      <c r="R32" s="83" t="s">
        <v>247</v>
      </c>
      <c r="S32" s="84" t="s">
        <v>248</v>
      </c>
      <c r="T32" s="86">
        <v>1</v>
      </c>
      <c r="U32" s="82">
        <v>1</v>
      </c>
      <c r="V32" s="82">
        <v>1</v>
      </c>
      <c r="W32" s="83" t="s">
        <v>265</v>
      </c>
      <c r="X32" s="85" t="s">
        <v>266</v>
      </c>
      <c r="Y32" s="340">
        <v>1</v>
      </c>
      <c r="Z32" s="289">
        <v>1</v>
      </c>
      <c r="AA32" s="289">
        <v>1</v>
      </c>
      <c r="AB32" s="296" t="s">
        <v>265</v>
      </c>
      <c r="AC32" s="108" t="s">
        <v>266</v>
      </c>
      <c r="AD32" s="340"/>
      <c r="AE32" s="289"/>
      <c r="AF32" s="289"/>
      <c r="AG32" s="345"/>
      <c r="AH32" s="258"/>
      <c r="AI32" s="340">
        <v>1</v>
      </c>
      <c r="AJ32" s="289">
        <v>1</v>
      </c>
      <c r="AK32" s="260">
        <v>1</v>
      </c>
      <c r="AL32" s="263">
        <v>0.2</v>
      </c>
      <c r="AM32" s="104">
        <v>1</v>
      </c>
      <c r="AN32" s="346">
        <v>1</v>
      </c>
      <c r="AO32" s="99">
        <f>AN32/AM32</f>
        <v>1</v>
      </c>
      <c r="AP32" s="264">
        <f>AL32+(20%*AO32)</f>
        <v>0.4</v>
      </c>
      <c r="AQ32" s="340">
        <v>1</v>
      </c>
      <c r="AR32" s="289">
        <v>1</v>
      </c>
      <c r="AS32" s="289">
        <v>1</v>
      </c>
      <c r="AT32" s="263">
        <v>0.60000000000000009</v>
      </c>
      <c r="AU32" s="347">
        <f t="shared" si="0"/>
        <v>1</v>
      </c>
      <c r="AV32" s="289">
        <v>0.75</v>
      </c>
      <c r="AW32" s="289">
        <f>AV32/AU32</f>
        <v>0.75</v>
      </c>
      <c r="AX32" s="339">
        <f>AT32+(20%*AV32)</f>
        <v>0.75000000000000011</v>
      </c>
      <c r="AY32" s="340"/>
      <c r="AZ32" s="289"/>
      <c r="BA32" s="289"/>
      <c r="BB32" s="339"/>
    </row>
    <row r="33" spans="1:59" ht="187.5" customHeight="1" x14ac:dyDescent="0.25">
      <c r="A33" s="212" t="s">
        <v>386</v>
      </c>
      <c r="B33" s="246">
        <v>11</v>
      </c>
      <c r="C33" s="320" t="s">
        <v>108</v>
      </c>
      <c r="D33" s="248" t="s">
        <v>109</v>
      </c>
      <c r="E33" s="248" t="s">
        <v>110</v>
      </c>
      <c r="F33" s="249" t="s">
        <v>111</v>
      </c>
      <c r="G33" s="250" t="s">
        <v>12</v>
      </c>
      <c r="H33" s="251" t="s">
        <v>66</v>
      </c>
      <c r="I33" s="259" t="s">
        <v>87</v>
      </c>
      <c r="J33" s="253">
        <v>1</v>
      </c>
      <c r="K33" s="253">
        <v>1</v>
      </c>
      <c r="L33" s="253">
        <v>1</v>
      </c>
      <c r="M33" s="253">
        <v>1</v>
      </c>
      <c r="N33" s="254">
        <v>1</v>
      </c>
      <c r="O33" s="56">
        <v>0.25</v>
      </c>
      <c r="P33" s="66">
        <v>0.25</v>
      </c>
      <c r="Q33" s="67">
        <v>1</v>
      </c>
      <c r="R33" s="68" t="s">
        <v>243</v>
      </c>
      <c r="S33" s="73" t="s">
        <v>244</v>
      </c>
      <c r="T33" s="58">
        <v>0.25</v>
      </c>
      <c r="U33" s="69">
        <v>0.25</v>
      </c>
      <c r="V33" s="67">
        <v>1</v>
      </c>
      <c r="W33" s="70" t="s">
        <v>258</v>
      </c>
      <c r="X33" s="72" t="s">
        <v>305</v>
      </c>
      <c r="Y33" s="304">
        <v>0.25</v>
      </c>
      <c r="Z33" s="305">
        <v>0.25</v>
      </c>
      <c r="AA33" s="289">
        <v>1</v>
      </c>
      <c r="AB33" s="296" t="s">
        <v>361</v>
      </c>
      <c r="AC33" s="71" t="s">
        <v>360</v>
      </c>
      <c r="AD33" s="259"/>
      <c r="AE33" s="250"/>
      <c r="AF33" s="306"/>
      <c r="AG33" s="59"/>
      <c r="AH33" s="71"/>
      <c r="AI33" s="259" t="s">
        <v>88</v>
      </c>
      <c r="AJ33" s="250" t="s">
        <v>88</v>
      </c>
      <c r="AK33" s="250" t="s">
        <v>88</v>
      </c>
      <c r="AL33" s="263">
        <v>0</v>
      </c>
      <c r="AM33" s="348">
        <v>1</v>
      </c>
      <c r="AN33" s="349">
        <v>1</v>
      </c>
      <c r="AO33" s="350">
        <f>AN33/AM33</f>
        <v>1</v>
      </c>
      <c r="AP33" s="351">
        <f>25%*AO33</f>
        <v>0.25</v>
      </c>
      <c r="AQ33" s="259">
        <v>1</v>
      </c>
      <c r="AR33" s="329">
        <v>1</v>
      </c>
      <c r="AS33" s="260">
        <v>1</v>
      </c>
      <c r="AT33" s="279">
        <v>0.5</v>
      </c>
      <c r="AU33" s="284">
        <f t="shared" si="0"/>
        <v>1</v>
      </c>
      <c r="AV33" s="250">
        <v>0.75</v>
      </c>
      <c r="AW33" s="306">
        <f>AV33/AU33</f>
        <v>0.75</v>
      </c>
      <c r="AX33" s="352">
        <f>AT33+(25%*AW33)</f>
        <v>0.6875</v>
      </c>
      <c r="AY33" s="259"/>
      <c r="AZ33" s="250"/>
      <c r="BA33" s="250"/>
      <c r="BB33" s="251"/>
      <c r="BC33" s="30"/>
    </row>
    <row r="34" spans="1:59" ht="409.6" customHeight="1" x14ac:dyDescent="0.25">
      <c r="A34" s="212" t="s">
        <v>386</v>
      </c>
      <c r="B34" s="246">
        <v>12</v>
      </c>
      <c r="C34" s="320" t="s">
        <v>112</v>
      </c>
      <c r="D34" s="248" t="s">
        <v>90</v>
      </c>
      <c r="E34" s="248" t="s">
        <v>113</v>
      </c>
      <c r="F34" s="249" t="s">
        <v>114</v>
      </c>
      <c r="G34" s="250" t="s">
        <v>12</v>
      </c>
      <c r="H34" s="251" t="s">
        <v>56</v>
      </c>
      <c r="I34" s="343">
        <v>1</v>
      </c>
      <c r="J34" s="344">
        <v>1</v>
      </c>
      <c r="K34" s="344">
        <v>1</v>
      </c>
      <c r="L34" s="344">
        <v>1</v>
      </c>
      <c r="M34" s="344">
        <v>1</v>
      </c>
      <c r="N34" s="353">
        <v>1</v>
      </c>
      <c r="O34" s="87">
        <v>3</v>
      </c>
      <c r="P34" s="88">
        <v>3</v>
      </c>
      <c r="Q34" s="82">
        <v>1</v>
      </c>
      <c r="R34" s="83" t="s">
        <v>222</v>
      </c>
      <c r="S34" s="84" t="s">
        <v>288</v>
      </c>
      <c r="T34" s="102">
        <v>4</v>
      </c>
      <c r="U34" s="103">
        <v>4</v>
      </c>
      <c r="V34" s="82">
        <f>+(T34/U34)*1</f>
        <v>1</v>
      </c>
      <c r="W34" s="83" t="s">
        <v>287</v>
      </c>
      <c r="X34" s="85" t="s">
        <v>288</v>
      </c>
      <c r="Y34" s="328">
        <v>7</v>
      </c>
      <c r="Z34" s="329">
        <v>7</v>
      </c>
      <c r="AA34" s="289">
        <v>1</v>
      </c>
      <c r="AB34" s="296" t="s">
        <v>348</v>
      </c>
      <c r="AC34" s="71" t="s">
        <v>347</v>
      </c>
      <c r="AD34" s="259"/>
      <c r="AE34" s="250"/>
      <c r="AF34" s="260"/>
      <c r="AG34" s="345"/>
      <c r="AH34" s="71"/>
      <c r="AI34" s="332">
        <v>1</v>
      </c>
      <c r="AJ34" s="260">
        <v>1</v>
      </c>
      <c r="AK34" s="260">
        <v>1</v>
      </c>
      <c r="AL34" s="279">
        <v>0.2</v>
      </c>
      <c r="AM34" s="86">
        <v>1</v>
      </c>
      <c r="AN34" s="82">
        <f>(O34+T34+Y34)/(P34+U34+Z34)</f>
        <v>1</v>
      </c>
      <c r="AO34" s="82">
        <f>AN34/AM34</f>
        <v>1</v>
      </c>
      <c r="AP34" s="300">
        <f>20%+(20%*AO34)</f>
        <v>0.4</v>
      </c>
      <c r="AQ34" s="332">
        <v>1</v>
      </c>
      <c r="AR34" s="260">
        <v>1</v>
      </c>
      <c r="AS34" s="260">
        <v>1</v>
      </c>
      <c r="AT34" s="279">
        <v>0.6</v>
      </c>
      <c r="AU34" s="347">
        <f t="shared" si="0"/>
        <v>1</v>
      </c>
      <c r="AV34" s="260">
        <v>1</v>
      </c>
      <c r="AW34" s="260">
        <v>1</v>
      </c>
      <c r="AX34" s="333">
        <v>0.8</v>
      </c>
      <c r="AY34" s="332"/>
      <c r="AZ34" s="260"/>
      <c r="BA34" s="260"/>
      <c r="BB34" s="333"/>
    </row>
    <row r="35" spans="1:59" ht="294.75" customHeight="1" x14ac:dyDescent="0.25">
      <c r="A35" s="212" t="s">
        <v>386</v>
      </c>
      <c r="B35" s="246">
        <v>13</v>
      </c>
      <c r="C35" s="247" t="s">
        <v>115</v>
      </c>
      <c r="D35" s="248" t="s">
        <v>116</v>
      </c>
      <c r="E35" s="248" t="s">
        <v>117</v>
      </c>
      <c r="F35" s="249" t="s">
        <v>118</v>
      </c>
      <c r="G35" s="250" t="s">
        <v>12</v>
      </c>
      <c r="H35" s="251" t="s">
        <v>56</v>
      </c>
      <c r="I35" s="343">
        <v>1</v>
      </c>
      <c r="J35" s="344">
        <v>1</v>
      </c>
      <c r="K35" s="344">
        <v>1</v>
      </c>
      <c r="L35" s="344">
        <v>1</v>
      </c>
      <c r="M35" s="344">
        <v>1</v>
      </c>
      <c r="N35" s="353">
        <v>1</v>
      </c>
      <c r="O35" s="87">
        <v>3</v>
      </c>
      <c r="P35" s="88">
        <v>3</v>
      </c>
      <c r="Q35" s="99">
        <v>1</v>
      </c>
      <c r="R35" s="83" t="s">
        <v>227</v>
      </c>
      <c r="S35" s="84" t="s">
        <v>299</v>
      </c>
      <c r="T35" s="87">
        <v>3</v>
      </c>
      <c r="U35" s="88">
        <v>3</v>
      </c>
      <c r="V35" s="99">
        <f>+U35/T35</f>
        <v>1</v>
      </c>
      <c r="W35" s="83" t="s">
        <v>289</v>
      </c>
      <c r="X35" s="85" t="s">
        <v>290</v>
      </c>
      <c r="Y35" s="354">
        <v>3</v>
      </c>
      <c r="Z35" s="355">
        <v>3</v>
      </c>
      <c r="AA35" s="289">
        <v>1</v>
      </c>
      <c r="AB35" s="296" t="s">
        <v>349</v>
      </c>
      <c r="AC35" s="71" t="s">
        <v>350</v>
      </c>
      <c r="AD35" s="259"/>
      <c r="AE35" s="250"/>
      <c r="AF35" s="260"/>
      <c r="AG35" s="59"/>
      <c r="AH35" s="71"/>
      <c r="AI35" s="259">
        <v>10</v>
      </c>
      <c r="AJ35" s="250">
        <v>10</v>
      </c>
      <c r="AK35" s="260">
        <v>1</v>
      </c>
      <c r="AL35" s="279">
        <v>0.2</v>
      </c>
      <c r="AM35" s="86">
        <v>1</v>
      </c>
      <c r="AN35" s="99">
        <f>10/10</f>
        <v>1</v>
      </c>
      <c r="AO35" s="99">
        <f>AN35/AM35</f>
        <v>1</v>
      </c>
      <c r="AP35" s="356">
        <f>AL35+(20%*AO35)</f>
        <v>0.4</v>
      </c>
      <c r="AQ35" s="332">
        <v>1</v>
      </c>
      <c r="AR35" s="260">
        <v>1</v>
      </c>
      <c r="AS35" s="260">
        <v>1</v>
      </c>
      <c r="AT35" s="279">
        <v>0.60000000000000009</v>
      </c>
      <c r="AU35" s="347">
        <f t="shared" si="0"/>
        <v>1</v>
      </c>
      <c r="AV35" s="260">
        <v>0.75</v>
      </c>
      <c r="AW35" s="260">
        <f>AV35/AU35</f>
        <v>0.75</v>
      </c>
      <c r="AX35" s="333">
        <f>AT35+(20%*AW35)</f>
        <v>0.75000000000000011</v>
      </c>
      <c r="AY35" s="259"/>
      <c r="AZ35" s="250"/>
      <c r="BA35" s="250"/>
      <c r="BB35" s="251"/>
      <c r="BC35" s="30"/>
    </row>
    <row r="36" spans="1:59" ht="300" customHeight="1" x14ac:dyDescent="0.25">
      <c r="A36" s="211" t="s">
        <v>387</v>
      </c>
      <c r="B36" s="246">
        <v>14</v>
      </c>
      <c r="C36" s="274" t="s">
        <v>119</v>
      </c>
      <c r="D36" s="357" t="s">
        <v>120</v>
      </c>
      <c r="E36" s="357" t="s">
        <v>121</v>
      </c>
      <c r="F36" s="249" t="s">
        <v>390</v>
      </c>
      <c r="G36" s="278" t="s">
        <v>12</v>
      </c>
      <c r="H36" s="358" t="s">
        <v>56</v>
      </c>
      <c r="I36" s="359">
        <v>1</v>
      </c>
      <c r="J36" s="360">
        <v>1</v>
      </c>
      <c r="K36" s="360">
        <v>1</v>
      </c>
      <c r="L36" s="360">
        <v>1</v>
      </c>
      <c r="M36" s="360">
        <v>1</v>
      </c>
      <c r="N36" s="283">
        <v>1</v>
      </c>
      <c r="O36" s="104">
        <v>0.06</v>
      </c>
      <c r="P36" s="82">
        <v>0.06</v>
      </c>
      <c r="Q36" s="82">
        <v>1</v>
      </c>
      <c r="R36" s="83" t="s">
        <v>213</v>
      </c>
      <c r="S36" s="84" t="s">
        <v>197</v>
      </c>
      <c r="T36" s="86">
        <v>0.3</v>
      </c>
      <c r="U36" s="82">
        <v>0.3</v>
      </c>
      <c r="V36" s="82">
        <v>1</v>
      </c>
      <c r="W36" s="83" t="s">
        <v>274</v>
      </c>
      <c r="X36" s="85" t="s">
        <v>306</v>
      </c>
      <c r="Y36" s="340">
        <v>0.43</v>
      </c>
      <c r="Z36" s="321">
        <v>0.43</v>
      </c>
      <c r="AA36" s="289">
        <v>1</v>
      </c>
      <c r="AB36" s="296" t="s">
        <v>379</v>
      </c>
      <c r="AC36" s="71" t="s">
        <v>306</v>
      </c>
      <c r="AD36" s="340"/>
      <c r="AE36" s="321"/>
      <c r="AF36" s="289"/>
      <c r="AG36" s="296"/>
      <c r="AH36" s="71"/>
      <c r="AI36" s="308">
        <v>1</v>
      </c>
      <c r="AJ36" s="269">
        <v>1</v>
      </c>
      <c r="AK36" s="269">
        <v>1</v>
      </c>
      <c r="AL36" s="283">
        <v>0.2</v>
      </c>
      <c r="AM36" s="86">
        <v>1</v>
      </c>
      <c r="AN36" s="82">
        <v>1</v>
      </c>
      <c r="AO36" s="82">
        <f>+AN36</f>
        <v>1</v>
      </c>
      <c r="AP36" s="264">
        <f>AL36+(20%*AO36)</f>
        <v>0.4</v>
      </c>
      <c r="AQ36" s="308">
        <v>1</v>
      </c>
      <c r="AR36" s="257">
        <v>1</v>
      </c>
      <c r="AS36" s="257">
        <v>1</v>
      </c>
      <c r="AT36" s="267">
        <v>0.60000000000000009</v>
      </c>
      <c r="AU36" s="347">
        <f t="shared" si="0"/>
        <v>1</v>
      </c>
      <c r="AV36" s="335">
        <f>O36+T36+Y36</f>
        <v>0.79</v>
      </c>
      <c r="AW36" s="269">
        <f>AV36/AU36</f>
        <v>0.79</v>
      </c>
      <c r="AX36" s="270">
        <f>AT36+(20%*AW36)</f>
        <v>0.75800000000000012</v>
      </c>
      <c r="AY36" s="291"/>
      <c r="AZ36" s="292"/>
      <c r="BA36" s="292"/>
      <c r="BB36" s="293"/>
      <c r="BC36" s="30"/>
    </row>
    <row r="37" spans="1:59" s="154" customFormat="1" ht="213.75" customHeight="1" x14ac:dyDescent="0.25">
      <c r="A37" s="361" t="s">
        <v>386</v>
      </c>
      <c r="B37" s="362">
        <v>15</v>
      </c>
      <c r="C37" s="363" t="s">
        <v>122</v>
      </c>
      <c r="D37" s="364" t="s">
        <v>123</v>
      </c>
      <c r="E37" s="364" t="s">
        <v>124</v>
      </c>
      <c r="F37" s="365" t="s">
        <v>125</v>
      </c>
      <c r="G37" s="366" t="s">
        <v>10</v>
      </c>
      <c r="H37" s="367" t="s">
        <v>126</v>
      </c>
      <c r="I37" s="368" t="s">
        <v>87</v>
      </c>
      <c r="J37" s="369">
        <v>1</v>
      </c>
      <c r="K37" s="369">
        <v>2</v>
      </c>
      <c r="L37" s="369">
        <v>3</v>
      </c>
      <c r="M37" s="369">
        <v>3</v>
      </c>
      <c r="N37" s="370">
        <v>3</v>
      </c>
      <c r="O37" s="148" t="s">
        <v>61</v>
      </c>
      <c r="P37" s="149" t="s">
        <v>61</v>
      </c>
      <c r="Q37" s="150" t="s">
        <v>61</v>
      </c>
      <c r="R37" s="151" t="s">
        <v>254</v>
      </c>
      <c r="S37" s="131" t="s">
        <v>61</v>
      </c>
      <c r="T37" s="148" t="s">
        <v>61</v>
      </c>
      <c r="U37" s="149" t="s">
        <v>61</v>
      </c>
      <c r="V37" s="150" t="s">
        <v>61</v>
      </c>
      <c r="W37" s="151" t="s">
        <v>291</v>
      </c>
      <c r="X37" s="152" t="s">
        <v>61</v>
      </c>
      <c r="Y37" s="371" t="s">
        <v>61</v>
      </c>
      <c r="Z37" s="149" t="s">
        <v>61</v>
      </c>
      <c r="AA37" s="149" t="s">
        <v>61</v>
      </c>
      <c r="AB37" s="151" t="s">
        <v>382</v>
      </c>
      <c r="AC37" s="152" t="s">
        <v>383</v>
      </c>
      <c r="AD37" s="354"/>
      <c r="AE37" s="355"/>
      <c r="AF37" s="324"/>
      <c r="AG37" s="83"/>
      <c r="AH37" s="108"/>
      <c r="AI37" s="368" t="s">
        <v>88</v>
      </c>
      <c r="AJ37" s="366" t="s">
        <v>88</v>
      </c>
      <c r="AK37" s="366" t="s">
        <v>88</v>
      </c>
      <c r="AL37" s="372">
        <v>0</v>
      </c>
      <c r="AM37" s="132">
        <v>1</v>
      </c>
      <c r="AN37" s="133" t="s">
        <v>61</v>
      </c>
      <c r="AO37" s="373" t="s">
        <v>61</v>
      </c>
      <c r="AP37" s="374">
        <v>0</v>
      </c>
      <c r="AQ37" s="375">
        <v>2</v>
      </c>
      <c r="AR37" s="133" t="s">
        <v>61</v>
      </c>
      <c r="AS37" s="373" t="s">
        <v>61</v>
      </c>
      <c r="AT37" s="376">
        <v>0</v>
      </c>
      <c r="AU37" s="377">
        <f t="shared" si="0"/>
        <v>3</v>
      </c>
      <c r="AV37" s="133">
        <v>0</v>
      </c>
      <c r="AW37" s="373">
        <v>0</v>
      </c>
      <c r="AX37" s="378">
        <v>0</v>
      </c>
      <c r="AY37" s="368"/>
      <c r="AZ37" s="366"/>
      <c r="BA37" s="366"/>
      <c r="BB37" s="367"/>
      <c r="BC37" s="153"/>
    </row>
    <row r="38" spans="1:59" ht="409.5" customHeight="1" x14ac:dyDescent="0.25">
      <c r="A38" s="212" t="s">
        <v>386</v>
      </c>
      <c r="B38" s="246">
        <v>16</v>
      </c>
      <c r="C38" s="247" t="s">
        <v>127</v>
      </c>
      <c r="D38" s="248" t="s">
        <v>123</v>
      </c>
      <c r="E38" s="248" t="s">
        <v>128</v>
      </c>
      <c r="F38" s="249" t="s">
        <v>129</v>
      </c>
      <c r="G38" s="250" t="s">
        <v>10</v>
      </c>
      <c r="H38" s="251" t="s">
        <v>126</v>
      </c>
      <c r="I38" s="259" t="s">
        <v>87</v>
      </c>
      <c r="J38" s="253">
        <v>1</v>
      </c>
      <c r="K38" s="253">
        <v>2</v>
      </c>
      <c r="L38" s="253">
        <v>3</v>
      </c>
      <c r="M38" s="253">
        <v>3</v>
      </c>
      <c r="N38" s="254">
        <v>3</v>
      </c>
      <c r="O38" s="132" t="s">
        <v>61</v>
      </c>
      <c r="P38" s="133" t="s">
        <v>61</v>
      </c>
      <c r="Q38" s="133" t="s">
        <v>61</v>
      </c>
      <c r="R38" s="134" t="s">
        <v>223</v>
      </c>
      <c r="S38" s="131" t="s">
        <v>61</v>
      </c>
      <c r="T38" s="87" t="s">
        <v>61</v>
      </c>
      <c r="U38" s="88" t="s">
        <v>61</v>
      </c>
      <c r="V38" s="82" t="s">
        <v>61</v>
      </c>
      <c r="W38" s="83" t="s">
        <v>255</v>
      </c>
      <c r="X38" s="105" t="s">
        <v>253</v>
      </c>
      <c r="Y38" s="354" t="s">
        <v>61</v>
      </c>
      <c r="Z38" s="355" t="s">
        <v>61</v>
      </c>
      <c r="AA38" s="324" t="s">
        <v>61</v>
      </c>
      <c r="AB38" s="211" t="s">
        <v>380</v>
      </c>
      <c r="AC38" s="251" t="s">
        <v>61</v>
      </c>
      <c r="AD38" s="354"/>
      <c r="AE38" s="355"/>
      <c r="AF38" s="324"/>
      <c r="AG38" s="249"/>
      <c r="AH38" s="379"/>
      <c r="AI38" s="259" t="s">
        <v>88</v>
      </c>
      <c r="AJ38" s="250" t="s">
        <v>88</v>
      </c>
      <c r="AK38" s="250" t="s">
        <v>88</v>
      </c>
      <c r="AL38" s="279">
        <v>0</v>
      </c>
      <c r="AM38" s="311">
        <v>1</v>
      </c>
      <c r="AN38" s="88">
        <v>1</v>
      </c>
      <c r="AO38" s="99">
        <v>1</v>
      </c>
      <c r="AP38" s="380">
        <f>1/3</f>
        <v>0.33333333333333331</v>
      </c>
      <c r="AQ38" s="313">
        <v>2</v>
      </c>
      <c r="AR38" s="314">
        <v>1</v>
      </c>
      <c r="AS38" s="257">
        <v>0.5</v>
      </c>
      <c r="AT38" s="381">
        <v>0.33333000000000002</v>
      </c>
      <c r="AU38" s="284">
        <f t="shared" si="0"/>
        <v>3</v>
      </c>
      <c r="AV38" s="88">
        <v>1</v>
      </c>
      <c r="AW38" s="382">
        <f>AV38/AU38</f>
        <v>0.33333333333333331</v>
      </c>
      <c r="AX38" s="383">
        <v>0.33329999999999999</v>
      </c>
      <c r="AY38" s="317"/>
      <c r="AZ38" s="318"/>
      <c r="BA38" s="318"/>
      <c r="BB38" s="319"/>
      <c r="BC38" s="30"/>
    </row>
    <row r="39" spans="1:59" ht="287.25" customHeight="1" x14ac:dyDescent="0.25">
      <c r="A39" s="287" t="s">
        <v>388</v>
      </c>
      <c r="B39" s="294">
        <v>17</v>
      </c>
      <c r="C39" s="247" t="s">
        <v>130</v>
      </c>
      <c r="D39" s="248" t="s">
        <v>77</v>
      </c>
      <c r="E39" s="248" t="s">
        <v>131</v>
      </c>
      <c r="F39" s="249" t="s">
        <v>131</v>
      </c>
      <c r="G39" s="250" t="s">
        <v>10</v>
      </c>
      <c r="H39" s="251" t="s">
        <v>66</v>
      </c>
      <c r="I39" s="252">
        <v>0.3</v>
      </c>
      <c r="J39" s="253">
        <v>0.5</v>
      </c>
      <c r="K39" s="253">
        <v>0.7</v>
      </c>
      <c r="L39" s="253">
        <v>0.9</v>
      </c>
      <c r="M39" s="253">
        <v>1</v>
      </c>
      <c r="N39" s="254">
        <v>1</v>
      </c>
      <c r="O39" s="87">
        <v>0.1</v>
      </c>
      <c r="P39" s="88">
        <v>0.1</v>
      </c>
      <c r="Q39" s="82">
        <v>1</v>
      </c>
      <c r="R39" s="83" t="s">
        <v>232</v>
      </c>
      <c r="S39" s="84" t="s">
        <v>233</v>
      </c>
      <c r="T39" s="87">
        <v>0.08</v>
      </c>
      <c r="U39" s="88">
        <v>0.08</v>
      </c>
      <c r="V39" s="82">
        <v>1</v>
      </c>
      <c r="W39" s="83" t="s">
        <v>262</v>
      </c>
      <c r="X39" s="85" t="s">
        <v>307</v>
      </c>
      <c r="Y39" s="304">
        <v>0.04</v>
      </c>
      <c r="Z39" s="305">
        <v>0.04</v>
      </c>
      <c r="AA39" s="257">
        <v>1</v>
      </c>
      <c r="AB39" s="249" t="s">
        <v>376</v>
      </c>
      <c r="AC39" s="71" t="s">
        <v>375</v>
      </c>
      <c r="AD39" s="265"/>
      <c r="AE39" s="278"/>
      <c r="AF39" s="289"/>
      <c r="AG39" s="59"/>
      <c r="AH39" s="71"/>
      <c r="AI39" s="259">
        <v>0.3</v>
      </c>
      <c r="AJ39" s="250">
        <v>0.3</v>
      </c>
      <c r="AK39" s="269">
        <v>1</v>
      </c>
      <c r="AL39" s="283">
        <v>0.3</v>
      </c>
      <c r="AM39" s="384">
        <v>0.5</v>
      </c>
      <c r="AN39" s="81">
        <f>AJ39+O39+T39+Y39+AD39</f>
        <v>0.52</v>
      </c>
      <c r="AO39" s="82">
        <v>1</v>
      </c>
      <c r="AP39" s="300">
        <v>0.5</v>
      </c>
      <c r="AQ39" s="255">
        <v>0.7</v>
      </c>
      <c r="AR39" s="262">
        <v>0.7</v>
      </c>
      <c r="AS39" s="269">
        <v>1.0000000000000002</v>
      </c>
      <c r="AT39" s="385">
        <v>0.70000000000000018</v>
      </c>
      <c r="AU39" s="386">
        <f t="shared" si="0"/>
        <v>0.9</v>
      </c>
      <c r="AV39" s="256">
        <f>AR39+O39+T39+Y39</f>
        <v>0.91999999999999993</v>
      </c>
      <c r="AW39" s="302">
        <v>1</v>
      </c>
      <c r="AX39" s="270">
        <f>AV39/1</f>
        <v>0.91999999999999993</v>
      </c>
      <c r="AY39" s="387"/>
      <c r="AZ39" s="388"/>
      <c r="BA39" s="388"/>
      <c r="BB39" s="389"/>
    </row>
    <row r="40" spans="1:59" ht="232.5" customHeight="1" x14ac:dyDescent="0.25">
      <c r="A40" s="287" t="s">
        <v>388</v>
      </c>
      <c r="B40" s="294">
        <v>18</v>
      </c>
      <c r="C40" s="390" t="s">
        <v>132</v>
      </c>
      <c r="D40" s="248" t="s">
        <v>77</v>
      </c>
      <c r="E40" s="248" t="s">
        <v>133</v>
      </c>
      <c r="F40" s="249" t="s">
        <v>134</v>
      </c>
      <c r="G40" s="250" t="s">
        <v>10</v>
      </c>
      <c r="H40" s="251" t="s">
        <v>107</v>
      </c>
      <c r="I40" s="259" t="s">
        <v>87</v>
      </c>
      <c r="J40" s="253">
        <v>0.3</v>
      </c>
      <c r="K40" s="253">
        <v>1</v>
      </c>
      <c r="L40" s="253">
        <v>0</v>
      </c>
      <c r="M40" s="253">
        <v>0</v>
      </c>
      <c r="N40" s="254">
        <v>1</v>
      </c>
      <c r="O40" s="87" t="s">
        <v>226</v>
      </c>
      <c r="P40" s="88" t="s">
        <v>226</v>
      </c>
      <c r="Q40" s="88" t="s">
        <v>226</v>
      </c>
      <c r="R40" s="106" t="s">
        <v>226</v>
      </c>
      <c r="S40" s="107" t="s">
        <v>61</v>
      </c>
      <c r="T40" s="87" t="s">
        <v>226</v>
      </c>
      <c r="U40" s="88" t="s">
        <v>226</v>
      </c>
      <c r="V40" s="88" t="s">
        <v>226</v>
      </c>
      <c r="W40" s="106" t="s">
        <v>226</v>
      </c>
      <c r="X40" s="108" t="s">
        <v>61</v>
      </c>
      <c r="Y40" s="142" t="s">
        <v>226</v>
      </c>
      <c r="Z40" s="88" t="s">
        <v>226</v>
      </c>
      <c r="AA40" s="88" t="s">
        <v>226</v>
      </c>
      <c r="AB40" s="106" t="s">
        <v>377</v>
      </c>
      <c r="AC40" s="101" t="s">
        <v>377</v>
      </c>
      <c r="AD40" s="297"/>
      <c r="AE40" s="298"/>
      <c r="AF40" s="257"/>
      <c r="AG40" s="309"/>
      <c r="AH40" s="71"/>
      <c r="AI40" s="259" t="s">
        <v>88</v>
      </c>
      <c r="AJ40" s="250" t="s">
        <v>88</v>
      </c>
      <c r="AK40" s="250" t="s">
        <v>88</v>
      </c>
      <c r="AL40" s="279">
        <v>0</v>
      </c>
      <c r="AM40" s="391">
        <v>0.3</v>
      </c>
      <c r="AN40" s="392">
        <v>0.3</v>
      </c>
      <c r="AO40" s="99">
        <v>1</v>
      </c>
      <c r="AP40" s="264">
        <v>0.3</v>
      </c>
      <c r="AQ40" s="313">
        <v>1</v>
      </c>
      <c r="AR40" s="314">
        <v>1</v>
      </c>
      <c r="AS40" s="257">
        <v>1</v>
      </c>
      <c r="AT40" s="267">
        <v>1</v>
      </c>
      <c r="AU40" s="284" t="s">
        <v>226</v>
      </c>
      <c r="AV40" s="257" t="s">
        <v>226</v>
      </c>
      <c r="AW40" s="257" t="s">
        <v>226</v>
      </c>
      <c r="AX40" s="316">
        <v>1</v>
      </c>
      <c r="AY40" s="340"/>
      <c r="AZ40" s="289"/>
      <c r="BA40" s="289"/>
      <c r="BB40" s="339"/>
    </row>
    <row r="41" spans="1:59" ht="116.25" customHeight="1" x14ac:dyDescent="0.25">
      <c r="A41" s="287" t="s">
        <v>388</v>
      </c>
      <c r="B41" s="303">
        <v>18</v>
      </c>
      <c r="C41" s="390" t="s">
        <v>132</v>
      </c>
      <c r="D41" s="248" t="s">
        <v>63</v>
      </c>
      <c r="E41" s="248" t="s">
        <v>135</v>
      </c>
      <c r="F41" s="249" t="s">
        <v>136</v>
      </c>
      <c r="G41" s="250" t="s">
        <v>16</v>
      </c>
      <c r="H41" s="251" t="s">
        <v>107</v>
      </c>
      <c r="I41" s="252">
        <v>0.24</v>
      </c>
      <c r="J41" s="253">
        <v>0.5</v>
      </c>
      <c r="K41" s="253">
        <v>0.26</v>
      </c>
      <c r="L41" s="253">
        <v>0</v>
      </c>
      <c r="M41" s="253">
        <v>0</v>
      </c>
      <c r="N41" s="254">
        <f t="shared" ref="N41:N50" si="2">SUM(I41:M41)</f>
        <v>1</v>
      </c>
      <c r="O41" s="87" t="s">
        <v>226</v>
      </c>
      <c r="P41" s="88" t="s">
        <v>226</v>
      </c>
      <c r="Q41" s="88" t="s">
        <v>226</v>
      </c>
      <c r="R41" s="106" t="s">
        <v>226</v>
      </c>
      <c r="S41" s="107" t="s">
        <v>61</v>
      </c>
      <c r="T41" s="87" t="s">
        <v>226</v>
      </c>
      <c r="U41" s="88" t="s">
        <v>226</v>
      </c>
      <c r="V41" s="88" t="s">
        <v>226</v>
      </c>
      <c r="W41" s="106" t="s">
        <v>226</v>
      </c>
      <c r="X41" s="108" t="s">
        <v>61</v>
      </c>
      <c r="Y41" s="393" t="s">
        <v>61</v>
      </c>
      <c r="Z41" s="82" t="s">
        <v>61</v>
      </c>
      <c r="AA41" s="257" t="str">
        <f t="shared" ref="AA41" si="3">Y41</f>
        <v>N/A</v>
      </c>
      <c r="AB41" s="83" t="s">
        <v>329</v>
      </c>
      <c r="AC41" s="85" t="s">
        <v>330</v>
      </c>
      <c r="AD41" s="394"/>
      <c r="AE41" s="395"/>
      <c r="AF41" s="289"/>
      <c r="AG41" s="59"/>
      <c r="AH41" s="71"/>
      <c r="AI41" s="261">
        <v>0.24</v>
      </c>
      <c r="AJ41" s="262">
        <v>0.24</v>
      </c>
      <c r="AK41" s="260">
        <v>1</v>
      </c>
      <c r="AL41" s="279">
        <v>0.24</v>
      </c>
      <c r="AM41" s="384">
        <v>0.5</v>
      </c>
      <c r="AN41" s="392">
        <v>0.5</v>
      </c>
      <c r="AO41" s="99">
        <f>+AN41/AM41</f>
        <v>1</v>
      </c>
      <c r="AP41" s="264">
        <f>(AJ41+AN41)</f>
        <v>0.74</v>
      </c>
      <c r="AQ41" s="255">
        <v>0.26</v>
      </c>
      <c r="AR41" s="256">
        <v>0.26</v>
      </c>
      <c r="AS41" s="257">
        <v>1</v>
      </c>
      <c r="AT41" s="283">
        <v>1</v>
      </c>
      <c r="AU41" s="284" t="s">
        <v>61</v>
      </c>
      <c r="AV41" s="269" t="s">
        <v>61</v>
      </c>
      <c r="AW41" s="269" t="s">
        <v>61</v>
      </c>
      <c r="AX41" s="270">
        <v>1</v>
      </c>
      <c r="AY41" s="387"/>
      <c r="AZ41" s="388"/>
      <c r="BA41" s="388"/>
      <c r="BB41" s="389"/>
    </row>
    <row r="42" spans="1:59" ht="159" customHeight="1" x14ac:dyDescent="0.25">
      <c r="A42" s="287" t="s">
        <v>388</v>
      </c>
      <c r="B42" s="246">
        <v>19</v>
      </c>
      <c r="C42" s="247" t="s">
        <v>137</v>
      </c>
      <c r="D42" s="248" t="s">
        <v>80</v>
      </c>
      <c r="E42" s="248" t="s">
        <v>138</v>
      </c>
      <c r="F42" s="249" t="s">
        <v>139</v>
      </c>
      <c r="G42" s="250" t="s">
        <v>16</v>
      </c>
      <c r="H42" s="251" t="s">
        <v>140</v>
      </c>
      <c r="I42" s="396">
        <v>28197</v>
      </c>
      <c r="J42" s="397">
        <v>30000</v>
      </c>
      <c r="K42" s="397">
        <v>20639</v>
      </c>
      <c r="L42" s="397">
        <v>13778</v>
      </c>
      <c r="M42" s="397">
        <v>7386</v>
      </c>
      <c r="N42" s="398">
        <f t="shared" si="2"/>
        <v>100000</v>
      </c>
      <c r="O42" s="109">
        <v>3539</v>
      </c>
      <c r="P42" s="110">
        <v>3539</v>
      </c>
      <c r="Q42" s="111">
        <v>1</v>
      </c>
      <c r="R42" s="83" t="s">
        <v>190</v>
      </c>
      <c r="S42" s="84" t="s">
        <v>198</v>
      </c>
      <c r="T42" s="109">
        <v>2526</v>
      </c>
      <c r="U42" s="103">
        <v>2526</v>
      </c>
      <c r="V42" s="82">
        <v>1</v>
      </c>
      <c r="W42" s="83" t="s">
        <v>277</v>
      </c>
      <c r="X42" s="112" t="s">
        <v>308</v>
      </c>
      <c r="Y42" s="399">
        <v>4944</v>
      </c>
      <c r="Z42" s="400">
        <v>4944</v>
      </c>
      <c r="AA42" s="401">
        <v>1</v>
      </c>
      <c r="AB42" s="249" t="s">
        <v>333</v>
      </c>
      <c r="AC42" s="402" t="s">
        <v>331</v>
      </c>
      <c r="AD42" s="399"/>
      <c r="AE42" s="400"/>
      <c r="AF42" s="306"/>
      <c r="AG42" s="59"/>
      <c r="AH42" s="71"/>
      <c r="AI42" s="403">
        <v>28197</v>
      </c>
      <c r="AJ42" s="404">
        <v>29150</v>
      </c>
      <c r="AK42" s="260">
        <f>+AJ42/AI42</f>
        <v>1.0337979217647268</v>
      </c>
      <c r="AL42" s="405">
        <v>0.29149999999999998</v>
      </c>
      <c r="AM42" s="406">
        <v>30000</v>
      </c>
      <c r="AN42" s="280">
        <v>30297</v>
      </c>
      <c r="AO42" s="82">
        <v>1</v>
      </c>
      <c r="AP42" s="264">
        <f>+(AJ42+AN42)/N42</f>
        <v>0.59447000000000005</v>
      </c>
      <c r="AQ42" s="407">
        <v>20639</v>
      </c>
      <c r="AR42" s="400">
        <v>20648</v>
      </c>
      <c r="AS42" s="269">
        <v>1.0004360676389359</v>
      </c>
      <c r="AT42" s="283">
        <f>(AJ42+AN42+AR42)/100000</f>
        <v>0.80095000000000005</v>
      </c>
      <c r="AU42" s="408">
        <f t="shared" si="0"/>
        <v>13778</v>
      </c>
      <c r="AV42" s="409">
        <f t="shared" ref="AV42:AV50" si="4">O42+T42+Y42</f>
        <v>11009</v>
      </c>
      <c r="AW42" s="269">
        <f>AV42/AU42</f>
        <v>0.7990274350413703</v>
      </c>
      <c r="AX42" s="286">
        <f>(AJ42+AN42+AR42+AV42)/100000</f>
        <v>0.91103999999999996</v>
      </c>
      <c r="AY42" s="387"/>
      <c r="AZ42" s="388"/>
      <c r="BA42" s="388"/>
      <c r="BB42" s="389"/>
    </row>
    <row r="43" spans="1:59" ht="95.1" customHeight="1" x14ac:dyDescent="0.25">
      <c r="A43" s="287" t="s">
        <v>388</v>
      </c>
      <c r="B43" s="246">
        <v>20</v>
      </c>
      <c r="C43" s="247" t="s">
        <v>141</v>
      </c>
      <c r="D43" s="248" t="s">
        <v>100</v>
      </c>
      <c r="E43" s="248" t="s">
        <v>142</v>
      </c>
      <c r="F43" s="249" t="s">
        <v>143</v>
      </c>
      <c r="G43" s="250" t="s">
        <v>16</v>
      </c>
      <c r="H43" s="358" t="s">
        <v>56</v>
      </c>
      <c r="I43" s="343">
        <v>0.1</v>
      </c>
      <c r="J43" s="344">
        <v>0.25</v>
      </c>
      <c r="K43" s="344">
        <v>0.25</v>
      </c>
      <c r="L43" s="344">
        <v>0.2</v>
      </c>
      <c r="M43" s="344">
        <v>0.2</v>
      </c>
      <c r="N43" s="410">
        <f t="shared" si="2"/>
        <v>1</v>
      </c>
      <c r="O43" s="104">
        <v>0.06</v>
      </c>
      <c r="P43" s="82">
        <v>0.06</v>
      </c>
      <c r="Q43" s="82">
        <v>1</v>
      </c>
      <c r="R43" s="83" t="s">
        <v>191</v>
      </c>
      <c r="S43" s="84" t="s">
        <v>199</v>
      </c>
      <c r="T43" s="86">
        <v>0.06</v>
      </c>
      <c r="U43" s="82">
        <v>0.06</v>
      </c>
      <c r="V43" s="82">
        <v>1</v>
      </c>
      <c r="W43" s="83" t="s">
        <v>278</v>
      </c>
      <c r="X43" s="85" t="s">
        <v>309</v>
      </c>
      <c r="Y43" s="411">
        <v>0.05</v>
      </c>
      <c r="Z43" s="82">
        <v>0.05</v>
      </c>
      <c r="AA43" s="82">
        <v>1</v>
      </c>
      <c r="AB43" s="249" t="s">
        <v>334</v>
      </c>
      <c r="AC43" s="258" t="s">
        <v>309</v>
      </c>
      <c r="AD43" s="332"/>
      <c r="AE43" s="260"/>
      <c r="AF43" s="289"/>
      <c r="AG43" s="59"/>
      <c r="AH43" s="71"/>
      <c r="AI43" s="332">
        <v>0.1</v>
      </c>
      <c r="AJ43" s="260">
        <v>0.1</v>
      </c>
      <c r="AK43" s="260">
        <v>1</v>
      </c>
      <c r="AL43" s="279">
        <v>0.1</v>
      </c>
      <c r="AM43" s="86">
        <v>0.25</v>
      </c>
      <c r="AN43" s="99">
        <v>0.25</v>
      </c>
      <c r="AO43" s="99">
        <f>+AN43/AM43</f>
        <v>1</v>
      </c>
      <c r="AP43" s="264">
        <f>+(AJ43+AN43)/N43</f>
        <v>0.35</v>
      </c>
      <c r="AQ43" s="308">
        <v>0.25</v>
      </c>
      <c r="AR43" s="269">
        <v>0.25</v>
      </c>
      <c r="AS43" s="269">
        <v>1</v>
      </c>
      <c r="AT43" s="283">
        <v>0.6</v>
      </c>
      <c r="AU43" s="347">
        <f t="shared" si="0"/>
        <v>0.2</v>
      </c>
      <c r="AV43" s="289">
        <f t="shared" si="4"/>
        <v>0.16999999999999998</v>
      </c>
      <c r="AW43" s="269">
        <f t="shared" ref="AW43:AW47" si="5">AV43/AU43</f>
        <v>0.84999999999999987</v>
      </c>
      <c r="AX43" s="270">
        <f>AT43+(AU43*AW43)</f>
        <v>0.77</v>
      </c>
      <c r="AY43" s="412"/>
      <c r="AZ43" s="330"/>
      <c r="BA43" s="330"/>
      <c r="BB43" s="331"/>
    </row>
    <row r="44" spans="1:59" ht="101.1" customHeight="1" x14ac:dyDescent="0.25">
      <c r="A44" s="287" t="s">
        <v>388</v>
      </c>
      <c r="B44" s="246">
        <v>21</v>
      </c>
      <c r="C44" s="247" t="s">
        <v>144</v>
      </c>
      <c r="D44" s="248" t="s">
        <v>100</v>
      </c>
      <c r="E44" s="248" t="s">
        <v>145</v>
      </c>
      <c r="F44" s="249" t="s">
        <v>146</v>
      </c>
      <c r="G44" s="250" t="s">
        <v>16</v>
      </c>
      <c r="H44" s="251" t="s">
        <v>147</v>
      </c>
      <c r="I44" s="259" t="s">
        <v>87</v>
      </c>
      <c r="J44" s="250" t="s">
        <v>87</v>
      </c>
      <c r="K44" s="250">
        <v>30</v>
      </c>
      <c r="L44" s="250">
        <v>30</v>
      </c>
      <c r="M44" s="250">
        <v>20</v>
      </c>
      <c r="N44" s="254">
        <f t="shared" si="2"/>
        <v>80</v>
      </c>
      <c r="O44" s="87">
        <v>3</v>
      </c>
      <c r="P44" s="88">
        <v>3</v>
      </c>
      <c r="Q44" s="111">
        <v>1</v>
      </c>
      <c r="R44" s="83" t="s">
        <v>214</v>
      </c>
      <c r="S44" s="84" t="s">
        <v>200</v>
      </c>
      <c r="T44" s="87">
        <v>11</v>
      </c>
      <c r="U44" s="103">
        <v>11</v>
      </c>
      <c r="V44" s="82">
        <v>1</v>
      </c>
      <c r="W44" s="83" t="s">
        <v>275</v>
      </c>
      <c r="X44" s="113" t="s">
        <v>310</v>
      </c>
      <c r="Y44" s="354">
        <v>13</v>
      </c>
      <c r="Z44" s="400">
        <v>13</v>
      </c>
      <c r="AA44" s="82">
        <v>1</v>
      </c>
      <c r="AB44" s="413" t="s">
        <v>335</v>
      </c>
      <c r="AC44" s="414" t="s">
        <v>332</v>
      </c>
      <c r="AD44" s="354"/>
      <c r="AE44" s="355"/>
      <c r="AF44" s="415"/>
      <c r="AG44" s="413"/>
      <c r="AH44" s="414"/>
      <c r="AI44" s="354" t="s">
        <v>88</v>
      </c>
      <c r="AJ44" s="355" t="s">
        <v>88</v>
      </c>
      <c r="AK44" s="355" t="s">
        <v>88</v>
      </c>
      <c r="AL44" s="279">
        <v>0</v>
      </c>
      <c r="AM44" s="117" t="s">
        <v>61</v>
      </c>
      <c r="AN44" s="312" t="s">
        <v>61</v>
      </c>
      <c r="AO44" s="99" t="s">
        <v>61</v>
      </c>
      <c r="AP44" s="264">
        <v>0</v>
      </c>
      <c r="AQ44" s="265">
        <v>30</v>
      </c>
      <c r="AR44" s="282">
        <v>30</v>
      </c>
      <c r="AS44" s="269">
        <v>1</v>
      </c>
      <c r="AT44" s="416">
        <v>0.375</v>
      </c>
      <c r="AU44" s="284">
        <f t="shared" si="0"/>
        <v>30</v>
      </c>
      <c r="AV44" s="409">
        <f t="shared" si="4"/>
        <v>27</v>
      </c>
      <c r="AW44" s="269">
        <f>AV44/AU44</f>
        <v>0.9</v>
      </c>
      <c r="AX44" s="286">
        <f>(AR44+AV44)/80</f>
        <v>0.71250000000000002</v>
      </c>
      <c r="AY44" s="259"/>
      <c r="AZ44" s="250"/>
      <c r="BA44" s="250"/>
      <c r="BB44" s="251"/>
    </row>
    <row r="45" spans="1:59" ht="249.95" customHeight="1" x14ac:dyDescent="0.25">
      <c r="A45" s="287" t="s">
        <v>388</v>
      </c>
      <c r="B45" s="246">
        <v>22</v>
      </c>
      <c r="C45" s="247" t="s">
        <v>215</v>
      </c>
      <c r="D45" s="248" t="s">
        <v>100</v>
      </c>
      <c r="E45" s="248" t="s">
        <v>148</v>
      </c>
      <c r="F45" s="249" t="s">
        <v>149</v>
      </c>
      <c r="G45" s="250" t="s">
        <v>16</v>
      </c>
      <c r="H45" s="251" t="s">
        <v>147</v>
      </c>
      <c r="I45" s="252">
        <v>15</v>
      </c>
      <c r="J45" s="253">
        <v>33</v>
      </c>
      <c r="K45" s="253">
        <v>67</v>
      </c>
      <c r="L45" s="253">
        <v>140</v>
      </c>
      <c r="M45" s="253">
        <v>55</v>
      </c>
      <c r="N45" s="254">
        <f t="shared" si="2"/>
        <v>310</v>
      </c>
      <c r="O45" s="87">
        <v>10</v>
      </c>
      <c r="P45" s="103">
        <v>10</v>
      </c>
      <c r="Q45" s="111">
        <v>1</v>
      </c>
      <c r="R45" s="83" t="s">
        <v>216</v>
      </c>
      <c r="S45" s="84" t="s">
        <v>201</v>
      </c>
      <c r="T45" s="87">
        <v>24</v>
      </c>
      <c r="U45" s="103">
        <v>24</v>
      </c>
      <c r="V45" s="82">
        <v>1</v>
      </c>
      <c r="W45" s="83" t="s">
        <v>279</v>
      </c>
      <c r="X45" s="105" t="s">
        <v>311</v>
      </c>
      <c r="Y45" s="281">
        <v>21</v>
      </c>
      <c r="Z45" s="355">
        <v>21</v>
      </c>
      <c r="AA45" s="257">
        <v>1</v>
      </c>
      <c r="AB45" s="249" t="s">
        <v>378</v>
      </c>
      <c r="AC45" s="258" t="s">
        <v>336</v>
      </c>
      <c r="AD45" s="265"/>
      <c r="AE45" s="278"/>
      <c r="AF45" s="260"/>
      <c r="AG45" s="59"/>
      <c r="AH45" s="71"/>
      <c r="AI45" s="259">
        <v>15</v>
      </c>
      <c r="AJ45" s="250">
        <v>15</v>
      </c>
      <c r="AK45" s="260">
        <v>1</v>
      </c>
      <c r="AL45" s="263">
        <f>15/300</f>
        <v>0.05</v>
      </c>
      <c r="AM45" s="117">
        <v>33</v>
      </c>
      <c r="AN45" s="280">
        <v>33</v>
      </c>
      <c r="AO45" s="99">
        <f>+AN45/AM45</f>
        <v>1</v>
      </c>
      <c r="AP45" s="264">
        <f>+(AN45+AJ45)/N45</f>
        <v>0.15483870967741936</v>
      </c>
      <c r="AQ45" s="281">
        <v>67</v>
      </c>
      <c r="AR45" s="282">
        <v>67</v>
      </c>
      <c r="AS45" s="269">
        <v>1</v>
      </c>
      <c r="AT45" s="417">
        <v>0.38</v>
      </c>
      <c r="AU45" s="284">
        <f t="shared" si="0"/>
        <v>140</v>
      </c>
      <c r="AV45" s="409">
        <f t="shared" si="4"/>
        <v>55</v>
      </c>
      <c r="AW45" s="269">
        <f>AV45/AU45</f>
        <v>0.39285714285714285</v>
      </c>
      <c r="AX45" s="286">
        <f>(AJ45+AN45+AR45+AV45)/310</f>
        <v>0.54838709677419351</v>
      </c>
      <c r="AY45" s="259"/>
      <c r="AZ45" s="250"/>
      <c r="BA45" s="250"/>
      <c r="BB45" s="251"/>
    </row>
    <row r="46" spans="1:59" ht="150.75" customHeight="1" x14ac:dyDescent="0.25">
      <c r="A46" s="287" t="s">
        <v>388</v>
      </c>
      <c r="B46" s="246">
        <v>23</v>
      </c>
      <c r="C46" s="247" t="s">
        <v>150</v>
      </c>
      <c r="D46" s="248" t="s">
        <v>100</v>
      </c>
      <c r="E46" s="248" t="s">
        <v>151</v>
      </c>
      <c r="F46" s="249" t="s">
        <v>152</v>
      </c>
      <c r="G46" s="250" t="s">
        <v>16</v>
      </c>
      <c r="H46" s="251" t="s">
        <v>153</v>
      </c>
      <c r="I46" s="252">
        <v>15</v>
      </c>
      <c r="J46" s="253">
        <v>106</v>
      </c>
      <c r="K46" s="253">
        <v>67</v>
      </c>
      <c r="L46" s="253">
        <v>37</v>
      </c>
      <c r="M46" s="253">
        <v>25</v>
      </c>
      <c r="N46" s="254">
        <f t="shared" si="2"/>
        <v>250</v>
      </c>
      <c r="O46" s="87">
        <v>10</v>
      </c>
      <c r="P46" s="103">
        <v>10</v>
      </c>
      <c r="Q46" s="111">
        <v>1</v>
      </c>
      <c r="R46" s="83" t="s">
        <v>217</v>
      </c>
      <c r="S46" s="84" t="s">
        <v>202</v>
      </c>
      <c r="T46" s="87">
        <v>5</v>
      </c>
      <c r="U46" s="103">
        <v>5</v>
      </c>
      <c r="V46" s="82">
        <v>1</v>
      </c>
      <c r="W46" s="83" t="s">
        <v>276</v>
      </c>
      <c r="X46" s="60" t="s">
        <v>312</v>
      </c>
      <c r="Y46" s="281">
        <v>2</v>
      </c>
      <c r="Z46" s="355">
        <v>2</v>
      </c>
      <c r="AA46" s="257">
        <v>1</v>
      </c>
      <c r="AB46" s="249" t="s">
        <v>337</v>
      </c>
      <c r="AC46" s="258" t="s">
        <v>338</v>
      </c>
      <c r="AD46" s="265"/>
      <c r="AE46" s="278"/>
      <c r="AF46" s="260"/>
      <c r="AG46" s="59"/>
      <c r="AH46" s="71"/>
      <c r="AI46" s="259">
        <v>15</v>
      </c>
      <c r="AJ46" s="250">
        <v>15</v>
      </c>
      <c r="AK46" s="260">
        <v>1</v>
      </c>
      <c r="AL46" s="263">
        <f>15/250</f>
        <v>0.06</v>
      </c>
      <c r="AM46" s="117">
        <v>106</v>
      </c>
      <c r="AN46" s="280">
        <v>106</v>
      </c>
      <c r="AO46" s="99">
        <f>AN46/AM46</f>
        <v>1</v>
      </c>
      <c r="AP46" s="264">
        <f>+(AN46+AJ46)/N46</f>
        <v>0.48399999999999999</v>
      </c>
      <c r="AQ46" s="281">
        <v>67</v>
      </c>
      <c r="AR46" s="282">
        <v>67</v>
      </c>
      <c r="AS46" s="269">
        <v>1</v>
      </c>
      <c r="AT46" s="417">
        <v>0.752</v>
      </c>
      <c r="AU46" s="284">
        <f t="shared" si="0"/>
        <v>37</v>
      </c>
      <c r="AV46" s="409">
        <f t="shared" si="4"/>
        <v>17</v>
      </c>
      <c r="AW46" s="269">
        <f>AV46/AU46</f>
        <v>0.45945945945945948</v>
      </c>
      <c r="AX46" s="286">
        <f>(AJ46+AN46+AR46+AV46)/250</f>
        <v>0.82</v>
      </c>
      <c r="AY46" s="259"/>
      <c r="AZ46" s="250"/>
      <c r="BA46" s="250"/>
      <c r="BB46" s="251"/>
    </row>
    <row r="47" spans="1:59" ht="408.75" customHeight="1" x14ac:dyDescent="0.25">
      <c r="A47" s="287" t="s">
        <v>388</v>
      </c>
      <c r="B47" s="246">
        <v>24</v>
      </c>
      <c r="C47" s="247" t="s">
        <v>154</v>
      </c>
      <c r="D47" s="248" t="s">
        <v>155</v>
      </c>
      <c r="E47" s="248" t="s">
        <v>156</v>
      </c>
      <c r="F47" s="249" t="s">
        <v>157</v>
      </c>
      <c r="G47" s="250" t="s">
        <v>12</v>
      </c>
      <c r="H47" s="251" t="s">
        <v>66</v>
      </c>
      <c r="I47" s="252">
        <v>1</v>
      </c>
      <c r="J47" s="253">
        <v>1</v>
      </c>
      <c r="K47" s="253">
        <v>1</v>
      </c>
      <c r="L47" s="253">
        <v>1</v>
      </c>
      <c r="M47" s="253">
        <v>1</v>
      </c>
      <c r="N47" s="254">
        <v>1</v>
      </c>
      <c r="O47" s="80">
        <v>0.11</v>
      </c>
      <c r="P47" s="81">
        <v>0.11</v>
      </c>
      <c r="Q47" s="82">
        <v>1</v>
      </c>
      <c r="R47" s="83" t="s">
        <v>218</v>
      </c>
      <c r="S47" s="84" t="s">
        <v>203</v>
      </c>
      <c r="T47" s="80">
        <v>0.26</v>
      </c>
      <c r="U47" s="81">
        <v>0.26</v>
      </c>
      <c r="V47" s="82">
        <v>1</v>
      </c>
      <c r="W47" s="83" t="s">
        <v>280</v>
      </c>
      <c r="X47" s="85" t="s">
        <v>313</v>
      </c>
      <c r="Y47" s="418">
        <v>0.44</v>
      </c>
      <c r="Z47" s="419">
        <v>0.44</v>
      </c>
      <c r="AA47" s="420">
        <v>1</v>
      </c>
      <c r="AB47" s="421" t="s">
        <v>339</v>
      </c>
      <c r="AC47" s="422" t="s">
        <v>313</v>
      </c>
      <c r="AD47" s="265"/>
      <c r="AE47" s="278"/>
      <c r="AF47" s="260"/>
      <c r="AG47" s="421"/>
      <c r="AH47" s="71"/>
      <c r="AI47" s="259">
        <v>1</v>
      </c>
      <c r="AJ47" s="250">
        <v>1</v>
      </c>
      <c r="AK47" s="289">
        <f>AJ47/AI47</f>
        <v>1</v>
      </c>
      <c r="AL47" s="279">
        <v>0.2</v>
      </c>
      <c r="AM47" s="87">
        <v>1</v>
      </c>
      <c r="AN47" s="280">
        <v>1</v>
      </c>
      <c r="AO47" s="99">
        <f>AN47/AM47</f>
        <v>1</v>
      </c>
      <c r="AP47" s="264">
        <f>AL47+(20%*AO47)</f>
        <v>0.4</v>
      </c>
      <c r="AQ47" s="281">
        <v>1</v>
      </c>
      <c r="AR47" s="282">
        <v>1</v>
      </c>
      <c r="AS47" s="269">
        <v>1</v>
      </c>
      <c r="AT47" s="417">
        <v>0.6</v>
      </c>
      <c r="AU47" s="284">
        <f t="shared" si="0"/>
        <v>1</v>
      </c>
      <c r="AV47" s="423">
        <f t="shared" si="4"/>
        <v>0.81</v>
      </c>
      <c r="AW47" s="269">
        <f t="shared" si="5"/>
        <v>0.81</v>
      </c>
      <c r="AX47" s="270">
        <f>AT47+(20%*AW47)</f>
        <v>0.76200000000000001</v>
      </c>
      <c r="AY47" s="259"/>
      <c r="AZ47" s="250"/>
      <c r="BA47" s="250"/>
      <c r="BB47" s="251"/>
      <c r="BC47" s="30"/>
    </row>
    <row r="48" spans="1:59" ht="198.75" customHeight="1" x14ac:dyDescent="0.25">
      <c r="A48" s="287" t="s">
        <v>388</v>
      </c>
      <c r="B48" s="246">
        <v>25</v>
      </c>
      <c r="C48" s="247" t="s">
        <v>207</v>
      </c>
      <c r="D48" s="248" t="s">
        <v>63</v>
      </c>
      <c r="E48" s="248" t="s">
        <v>158</v>
      </c>
      <c r="F48" s="249" t="s">
        <v>159</v>
      </c>
      <c r="G48" s="250" t="s">
        <v>16</v>
      </c>
      <c r="H48" s="358" t="s">
        <v>160</v>
      </c>
      <c r="I48" s="275">
        <v>11</v>
      </c>
      <c r="J48" s="276">
        <v>63</v>
      </c>
      <c r="K48" s="276">
        <v>99</v>
      </c>
      <c r="L48" s="276">
        <v>152</v>
      </c>
      <c r="M48" s="276">
        <v>10</v>
      </c>
      <c r="N48" s="254">
        <f t="shared" si="2"/>
        <v>335</v>
      </c>
      <c r="O48" s="87">
        <v>38</v>
      </c>
      <c r="P48" s="103">
        <v>38</v>
      </c>
      <c r="Q48" s="111">
        <v>1</v>
      </c>
      <c r="R48" s="83" t="s">
        <v>219</v>
      </c>
      <c r="S48" s="84" t="s">
        <v>204</v>
      </c>
      <c r="T48" s="87">
        <v>64</v>
      </c>
      <c r="U48" s="103">
        <v>64</v>
      </c>
      <c r="V48" s="82">
        <v>1</v>
      </c>
      <c r="W48" s="83" t="s">
        <v>281</v>
      </c>
      <c r="X48" s="85" t="s">
        <v>314</v>
      </c>
      <c r="Y48" s="354">
        <v>31</v>
      </c>
      <c r="Z48" s="355">
        <v>31</v>
      </c>
      <c r="AA48" s="269">
        <v>1</v>
      </c>
      <c r="AB48" s="249" t="s">
        <v>340</v>
      </c>
      <c r="AC48" s="258" t="s">
        <v>341</v>
      </c>
      <c r="AD48" s="265"/>
      <c r="AE48" s="278"/>
      <c r="AF48" s="260"/>
      <c r="AG48" s="59"/>
      <c r="AH48" s="71"/>
      <c r="AI48" s="259">
        <v>11</v>
      </c>
      <c r="AJ48" s="250">
        <v>11</v>
      </c>
      <c r="AK48" s="260">
        <v>1</v>
      </c>
      <c r="AL48" s="325">
        <f>11/200</f>
        <v>5.5E-2</v>
      </c>
      <c r="AM48" s="87">
        <f>+J48</f>
        <v>63</v>
      </c>
      <c r="AN48" s="280">
        <v>63</v>
      </c>
      <c r="AO48" s="346">
        <f>+AN48/AM48</f>
        <v>1</v>
      </c>
      <c r="AP48" s="380">
        <f>+(AJ48+AN48)/N48</f>
        <v>0.22089552238805971</v>
      </c>
      <c r="AQ48" s="281">
        <v>191</v>
      </c>
      <c r="AR48" s="282">
        <v>99</v>
      </c>
      <c r="AS48" s="269">
        <v>0.51832460732984298</v>
      </c>
      <c r="AT48" s="417">
        <v>0.59655172413793101</v>
      </c>
      <c r="AU48" s="284">
        <f t="shared" si="0"/>
        <v>152</v>
      </c>
      <c r="AV48" s="409">
        <f t="shared" si="4"/>
        <v>133</v>
      </c>
      <c r="AW48" s="269">
        <f>AV48/AU48</f>
        <v>0.875</v>
      </c>
      <c r="AX48" s="316">
        <f>(AJ48+AN48+AR48+AV48)/335</f>
        <v>0.91343283582089552</v>
      </c>
      <c r="AY48" s="424"/>
      <c r="AZ48" s="301"/>
      <c r="BA48" s="301"/>
      <c r="BB48" s="425"/>
      <c r="BD48" s="31"/>
      <c r="BE48" s="31"/>
      <c r="BF48" s="31"/>
      <c r="BG48" s="31"/>
    </row>
    <row r="49" spans="1:54" ht="228.75" customHeight="1" x14ac:dyDescent="0.25">
      <c r="A49" s="287" t="s">
        <v>388</v>
      </c>
      <c r="B49" s="246">
        <v>26</v>
      </c>
      <c r="C49" s="247" t="s">
        <v>161</v>
      </c>
      <c r="D49" s="248" t="s">
        <v>63</v>
      </c>
      <c r="E49" s="248" t="s">
        <v>162</v>
      </c>
      <c r="F49" s="248" t="s">
        <v>162</v>
      </c>
      <c r="G49" s="250" t="s">
        <v>12</v>
      </c>
      <c r="H49" s="251" t="s">
        <v>66</v>
      </c>
      <c r="I49" s="252">
        <v>1</v>
      </c>
      <c r="J49" s="253">
        <v>1</v>
      </c>
      <c r="K49" s="253">
        <v>1</v>
      </c>
      <c r="L49" s="253">
        <v>1</v>
      </c>
      <c r="M49" s="253">
        <v>1</v>
      </c>
      <c r="N49" s="254">
        <v>1</v>
      </c>
      <c r="O49" s="80">
        <v>0.4</v>
      </c>
      <c r="P49" s="81">
        <v>0.4</v>
      </c>
      <c r="Q49" s="111">
        <v>1</v>
      </c>
      <c r="R49" s="83" t="s">
        <v>192</v>
      </c>
      <c r="S49" s="84" t="s">
        <v>205</v>
      </c>
      <c r="T49" s="80">
        <v>0.21</v>
      </c>
      <c r="U49" s="81">
        <v>0.21</v>
      </c>
      <c r="V49" s="82">
        <v>1</v>
      </c>
      <c r="W49" s="83" t="s">
        <v>282</v>
      </c>
      <c r="X49" s="85" t="s">
        <v>315</v>
      </c>
      <c r="Y49" s="304">
        <v>0.17</v>
      </c>
      <c r="Z49" s="305">
        <v>0.17</v>
      </c>
      <c r="AA49" s="260">
        <v>1</v>
      </c>
      <c r="AB49" s="249" t="s">
        <v>343</v>
      </c>
      <c r="AC49" s="258" t="s">
        <v>342</v>
      </c>
      <c r="AD49" s="265"/>
      <c r="AE49" s="278"/>
      <c r="AF49" s="260"/>
      <c r="AG49" s="59"/>
      <c r="AH49" s="71"/>
      <c r="AI49" s="259">
        <v>1</v>
      </c>
      <c r="AJ49" s="250">
        <v>1</v>
      </c>
      <c r="AK49" s="260">
        <v>1</v>
      </c>
      <c r="AL49" s="279">
        <v>0.2</v>
      </c>
      <c r="AM49" s="87">
        <f>+J49</f>
        <v>1</v>
      </c>
      <c r="AN49" s="280">
        <v>1</v>
      </c>
      <c r="AO49" s="99">
        <f>AN49/AM49</f>
        <v>1</v>
      </c>
      <c r="AP49" s="264">
        <f>AL49+(20%*AO49)</f>
        <v>0.4</v>
      </c>
      <c r="AQ49" s="265">
        <v>1</v>
      </c>
      <c r="AR49" s="282">
        <v>1</v>
      </c>
      <c r="AS49" s="269">
        <v>1</v>
      </c>
      <c r="AT49" s="417">
        <v>0.60000000000000009</v>
      </c>
      <c r="AU49" s="284">
        <f t="shared" si="0"/>
        <v>1</v>
      </c>
      <c r="AV49" s="423">
        <f t="shared" si="4"/>
        <v>0.78</v>
      </c>
      <c r="AW49" s="269">
        <f>AV49/AU49</f>
        <v>0.78</v>
      </c>
      <c r="AX49" s="270">
        <f>AT49+(20%*AW49)</f>
        <v>0.75600000000000012</v>
      </c>
      <c r="AY49" s="259"/>
      <c r="AZ49" s="250"/>
      <c r="BA49" s="250"/>
      <c r="BB49" s="251"/>
    </row>
    <row r="50" spans="1:54" ht="135.6" customHeight="1" x14ac:dyDescent="0.25">
      <c r="A50" s="287" t="s">
        <v>388</v>
      </c>
      <c r="B50" s="246">
        <v>27</v>
      </c>
      <c r="C50" s="247" t="s">
        <v>163</v>
      </c>
      <c r="D50" s="248" t="s">
        <v>63</v>
      </c>
      <c r="E50" s="248" t="s">
        <v>164</v>
      </c>
      <c r="F50" s="249" t="s">
        <v>165</v>
      </c>
      <c r="G50" s="250" t="s">
        <v>16</v>
      </c>
      <c r="H50" s="251" t="s">
        <v>166</v>
      </c>
      <c r="I50" s="252">
        <v>4</v>
      </c>
      <c r="J50" s="253">
        <v>17</v>
      </c>
      <c r="K50" s="253">
        <v>14</v>
      </c>
      <c r="L50" s="253">
        <v>18</v>
      </c>
      <c r="M50" s="253">
        <v>5</v>
      </c>
      <c r="N50" s="254">
        <f t="shared" si="2"/>
        <v>58</v>
      </c>
      <c r="O50" s="87">
        <v>2</v>
      </c>
      <c r="P50" s="103">
        <v>2</v>
      </c>
      <c r="Q50" s="111">
        <v>1</v>
      </c>
      <c r="R50" s="83" t="s">
        <v>193</v>
      </c>
      <c r="S50" s="84" t="s">
        <v>206</v>
      </c>
      <c r="T50" s="87">
        <v>9</v>
      </c>
      <c r="U50" s="103">
        <v>9</v>
      </c>
      <c r="V50" s="82">
        <v>1</v>
      </c>
      <c r="W50" s="83" t="s">
        <v>283</v>
      </c>
      <c r="X50" s="85" t="s">
        <v>316</v>
      </c>
      <c r="Y50" s="354">
        <v>5</v>
      </c>
      <c r="Z50" s="355">
        <v>5</v>
      </c>
      <c r="AA50" s="420">
        <v>1</v>
      </c>
      <c r="AB50" s="421" t="s">
        <v>344</v>
      </c>
      <c r="AC50" s="422" t="s">
        <v>316</v>
      </c>
      <c r="AD50" s="265"/>
      <c r="AE50" s="278"/>
      <c r="AF50" s="260"/>
      <c r="AG50" s="59"/>
      <c r="AH50" s="71"/>
      <c r="AI50" s="259">
        <v>4</v>
      </c>
      <c r="AJ50" s="250">
        <v>4</v>
      </c>
      <c r="AK50" s="260">
        <v>1</v>
      </c>
      <c r="AL50" s="325">
        <f>4/58</f>
        <v>6.8965517241379309E-2</v>
      </c>
      <c r="AM50" s="87">
        <v>16</v>
      </c>
      <c r="AN50" s="280">
        <v>17</v>
      </c>
      <c r="AO50" s="99">
        <v>1</v>
      </c>
      <c r="AP50" s="380">
        <f>+(AJ50+AN50)/N50</f>
        <v>0.36206896551724138</v>
      </c>
      <c r="AQ50" s="265">
        <f>K50</f>
        <v>14</v>
      </c>
      <c r="AR50" s="282">
        <v>14</v>
      </c>
      <c r="AS50" s="269">
        <v>1</v>
      </c>
      <c r="AT50" s="417">
        <v>0.6</v>
      </c>
      <c r="AU50" s="284">
        <f t="shared" si="0"/>
        <v>18</v>
      </c>
      <c r="AV50" s="409">
        <f t="shared" si="4"/>
        <v>16</v>
      </c>
      <c r="AW50" s="269">
        <f>AV50/AU50</f>
        <v>0.88888888888888884</v>
      </c>
      <c r="AX50" s="286">
        <f>(AJ50+AN50+AR50+AV50)/58</f>
        <v>0.87931034482758619</v>
      </c>
      <c r="AY50" s="259"/>
      <c r="AZ50" s="250"/>
      <c r="BA50" s="250"/>
      <c r="BB50" s="251"/>
    </row>
    <row r="51" spans="1:54" ht="180" customHeight="1" x14ac:dyDescent="0.25">
      <c r="A51" s="287" t="s">
        <v>388</v>
      </c>
      <c r="B51" s="246">
        <v>28</v>
      </c>
      <c r="C51" s="247" t="s">
        <v>167</v>
      </c>
      <c r="D51" s="248" t="s">
        <v>90</v>
      </c>
      <c r="E51" s="248" t="s">
        <v>168</v>
      </c>
      <c r="F51" s="249" t="s">
        <v>168</v>
      </c>
      <c r="G51" s="250" t="s">
        <v>16</v>
      </c>
      <c r="H51" s="251" t="s">
        <v>147</v>
      </c>
      <c r="I51" s="252">
        <v>1</v>
      </c>
      <c r="J51" s="253">
        <v>0</v>
      </c>
      <c r="K51" s="253">
        <v>1</v>
      </c>
      <c r="L51" s="253">
        <v>0</v>
      </c>
      <c r="M51" s="253">
        <v>0</v>
      </c>
      <c r="N51" s="254">
        <v>2</v>
      </c>
      <c r="O51" s="87" t="s">
        <v>61</v>
      </c>
      <c r="P51" s="88" t="s">
        <v>61</v>
      </c>
      <c r="Q51" s="82" t="s">
        <v>61</v>
      </c>
      <c r="R51" s="83" t="s">
        <v>224</v>
      </c>
      <c r="S51" s="84" t="s">
        <v>61</v>
      </c>
      <c r="T51" s="87" t="s">
        <v>61</v>
      </c>
      <c r="U51" s="88" t="s">
        <v>61</v>
      </c>
      <c r="V51" s="82" t="s">
        <v>61</v>
      </c>
      <c r="W51" s="83" t="s">
        <v>224</v>
      </c>
      <c r="X51" s="85" t="s">
        <v>61</v>
      </c>
      <c r="Y51" s="354" t="s">
        <v>61</v>
      </c>
      <c r="Z51" s="355" t="s">
        <v>61</v>
      </c>
      <c r="AA51" s="324" t="s">
        <v>61</v>
      </c>
      <c r="AB51" s="249" t="s">
        <v>351</v>
      </c>
      <c r="AC51" s="258" t="s">
        <v>61</v>
      </c>
      <c r="AD51" s="354"/>
      <c r="AE51" s="355"/>
      <c r="AF51" s="282"/>
      <c r="AG51" s="249"/>
      <c r="AH51" s="258"/>
      <c r="AI51" s="259">
        <v>1</v>
      </c>
      <c r="AJ51" s="250">
        <v>1</v>
      </c>
      <c r="AK51" s="260">
        <v>1</v>
      </c>
      <c r="AL51" s="279">
        <v>0.5</v>
      </c>
      <c r="AM51" s="87" t="s">
        <v>169</v>
      </c>
      <c r="AN51" s="88" t="s">
        <v>169</v>
      </c>
      <c r="AO51" s="88" t="s">
        <v>169</v>
      </c>
      <c r="AP51" s="300">
        <v>0.5</v>
      </c>
      <c r="AQ51" s="259">
        <v>1</v>
      </c>
      <c r="AR51" s="250">
        <v>1</v>
      </c>
      <c r="AS51" s="260">
        <v>1</v>
      </c>
      <c r="AT51" s="263">
        <v>1</v>
      </c>
      <c r="AU51" s="284" t="s">
        <v>226</v>
      </c>
      <c r="AV51" s="250" t="s">
        <v>226</v>
      </c>
      <c r="AW51" s="250" t="s">
        <v>226</v>
      </c>
      <c r="AX51" s="333">
        <v>1</v>
      </c>
      <c r="AY51" s="259"/>
      <c r="AZ51" s="250"/>
      <c r="BA51" s="250"/>
      <c r="BB51" s="251"/>
    </row>
    <row r="52" spans="1:54" ht="297.75" customHeight="1" x14ac:dyDescent="0.25">
      <c r="A52" s="212" t="s">
        <v>389</v>
      </c>
      <c r="B52" s="246">
        <v>29</v>
      </c>
      <c r="C52" s="247" t="s">
        <v>170</v>
      </c>
      <c r="D52" s="248" t="s">
        <v>171</v>
      </c>
      <c r="E52" s="248" t="s">
        <v>172</v>
      </c>
      <c r="F52" s="249" t="s">
        <v>173</v>
      </c>
      <c r="G52" s="250" t="s">
        <v>12</v>
      </c>
      <c r="H52" s="251" t="s">
        <v>66</v>
      </c>
      <c r="I52" s="252">
        <v>1</v>
      </c>
      <c r="J52" s="253">
        <v>1</v>
      </c>
      <c r="K52" s="253">
        <v>1</v>
      </c>
      <c r="L52" s="253">
        <v>1</v>
      </c>
      <c r="M52" s="253">
        <v>1</v>
      </c>
      <c r="N52" s="254">
        <v>1</v>
      </c>
      <c r="O52" s="87">
        <v>0.25</v>
      </c>
      <c r="P52" s="88">
        <v>0.25</v>
      </c>
      <c r="Q52" s="82">
        <v>1</v>
      </c>
      <c r="R52" s="83" t="s">
        <v>225</v>
      </c>
      <c r="S52" s="114" t="s">
        <v>293</v>
      </c>
      <c r="T52" s="87">
        <v>0.25</v>
      </c>
      <c r="U52" s="88">
        <v>0.25</v>
      </c>
      <c r="V52" s="82">
        <v>1</v>
      </c>
      <c r="W52" s="83" t="s">
        <v>292</v>
      </c>
      <c r="X52" s="85" t="s">
        <v>294</v>
      </c>
      <c r="Y52" s="255">
        <v>0.25</v>
      </c>
      <c r="Z52" s="305">
        <v>0.25</v>
      </c>
      <c r="AA52" s="257">
        <v>1</v>
      </c>
      <c r="AB52" s="249" t="s">
        <v>352</v>
      </c>
      <c r="AC52" s="258" t="s">
        <v>353</v>
      </c>
      <c r="AD52" s="255"/>
      <c r="AE52" s="305"/>
      <c r="AF52" s="289"/>
      <c r="AG52" s="59"/>
      <c r="AH52" s="71"/>
      <c r="AI52" s="259">
        <v>1</v>
      </c>
      <c r="AJ52" s="250">
        <v>1</v>
      </c>
      <c r="AK52" s="260">
        <v>1</v>
      </c>
      <c r="AL52" s="279">
        <v>0.2</v>
      </c>
      <c r="AM52" s="87">
        <v>1</v>
      </c>
      <c r="AN52" s="103">
        <v>1</v>
      </c>
      <c r="AO52" s="99">
        <f>AN52/AM52</f>
        <v>1</v>
      </c>
      <c r="AP52" s="264">
        <f>20%+(20%*AO52)</f>
        <v>0.4</v>
      </c>
      <c r="AQ52" s="259">
        <v>1</v>
      </c>
      <c r="AR52" s="329">
        <v>1</v>
      </c>
      <c r="AS52" s="260">
        <v>1</v>
      </c>
      <c r="AT52" s="279">
        <v>0.60000000000000009</v>
      </c>
      <c r="AU52" s="284">
        <f t="shared" si="0"/>
        <v>1</v>
      </c>
      <c r="AV52" s="250">
        <v>0.75</v>
      </c>
      <c r="AW52" s="260">
        <f>AV52/AU52</f>
        <v>0.75</v>
      </c>
      <c r="AX52" s="333">
        <f>AT52+(20%*AW52)</f>
        <v>0.75000000000000011</v>
      </c>
      <c r="AY52" s="259"/>
      <c r="AZ52" s="250"/>
      <c r="BA52" s="250"/>
      <c r="BB52" s="251"/>
    </row>
    <row r="53" spans="1:54" ht="408.95" customHeight="1" x14ac:dyDescent="0.25">
      <c r="A53" s="212" t="s">
        <v>389</v>
      </c>
      <c r="B53" s="246">
        <v>30</v>
      </c>
      <c r="C53" s="247" t="s">
        <v>174</v>
      </c>
      <c r="D53" s="248" t="s">
        <v>175</v>
      </c>
      <c r="E53" s="248" t="s">
        <v>176</v>
      </c>
      <c r="F53" s="249" t="s">
        <v>177</v>
      </c>
      <c r="G53" s="250" t="s">
        <v>12</v>
      </c>
      <c r="H53" s="251" t="s">
        <v>56</v>
      </c>
      <c r="I53" s="343">
        <v>1</v>
      </c>
      <c r="J53" s="344">
        <v>1</v>
      </c>
      <c r="K53" s="344">
        <v>1</v>
      </c>
      <c r="L53" s="344">
        <v>1</v>
      </c>
      <c r="M53" s="344">
        <v>1</v>
      </c>
      <c r="N53" s="353">
        <v>1</v>
      </c>
      <c r="O53" s="86">
        <v>0.14000000000000001</v>
      </c>
      <c r="P53" s="82">
        <v>0.14000000000000001</v>
      </c>
      <c r="Q53" s="99">
        <v>1</v>
      </c>
      <c r="R53" s="83" t="s">
        <v>228</v>
      </c>
      <c r="S53" s="84" t="s">
        <v>295</v>
      </c>
      <c r="T53" s="115">
        <v>0.28000000000000003</v>
      </c>
      <c r="U53" s="111">
        <v>0.28000000000000003</v>
      </c>
      <c r="V53" s="116">
        <f>+(T53/U53)*100%</f>
        <v>1</v>
      </c>
      <c r="W53" s="100" t="s">
        <v>296</v>
      </c>
      <c r="X53" s="85" t="s">
        <v>295</v>
      </c>
      <c r="Y53" s="426">
        <v>0.65710000000000002</v>
      </c>
      <c r="Z53" s="427">
        <v>0.65710000000000002</v>
      </c>
      <c r="AA53" s="269">
        <v>0.99999999999999978</v>
      </c>
      <c r="AB53" s="211" t="s">
        <v>355</v>
      </c>
      <c r="AC53" s="258" t="s">
        <v>354</v>
      </c>
      <c r="AD53" s="265"/>
      <c r="AE53" s="278"/>
      <c r="AF53" s="260"/>
      <c r="AG53" s="287"/>
      <c r="AH53" s="71"/>
      <c r="AI53" s="340">
        <v>1</v>
      </c>
      <c r="AJ53" s="289">
        <f>7/7</f>
        <v>1</v>
      </c>
      <c r="AK53" s="260">
        <v>1</v>
      </c>
      <c r="AL53" s="279">
        <v>0.2</v>
      </c>
      <c r="AM53" s="86">
        <v>1</v>
      </c>
      <c r="AN53" s="99">
        <f>6/6</f>
        <v>1</v>
      </c>
      <c r="AO53" s="99">
        <f>(AN53/AM53)</f>
        <v>1</v>
      </c>
      <c r="AP53" s="264">
        <f>AL53+(20%*AN53)</f>
        <v>0.4</v>
      </c>
      <c r="AQ53" s="340">
        <v>1</v>
      </c>
      <c r="AR53" s="289">
        <v>1</v>
      </c>
      <c r="AS53" s="289">
        <v>1</v>
      </c>
      <c r="AT53" s="263">
        <v>0.6</v>
      </c>
      <c r="AU53" s="347">
        <f t="shared" si="0"/>
        <v>1</v>
      </c>
      <c r="AV53" s="330">
        <v>0.65710000000000002</v>
      </c>
      <c r="AW53" s="330">
        <f>AV53/AU53</f>
        <v>0.65710000000000002</v>
      </c>
      <c r="AX53" s="333">
        <f>AT53+(20%*AW53)</f>
        <v>0.73141999999999996</v>
      </c>
      <c r="AY53" s="259"/>
      <c r="AZ53" s="250"/>
      <c r="BA53" s="250"/>
      <c r="BB53" s="251"/>
    </row>
    <row r="54" spans="1:54" ht="409.5" customHeight="1" x14ac:dyDescent="0.25">
      <c r="A54" s="212" t="s">
        <v>389</v>
      </c>
      <c r="B54" s="288">
        <v>31</v>
      </c>
      <c r="C54" s="390" t="s">
        <v>178</v>
      </c>
      <c r="D54" s="248" t="s">
        <v>179</v>
      </c>
      <c r="E54" s="248" t="s">
        <v>180</v>
      </c>
      <c r="F54" s="248" t="s">
        <v>180</v>
      </c>
      <c r="G54" s="250" t="s">
        <v>10</v>
      </c>
      <c r="H54" s="251" t="s">
        <v>107</v>
      </c>
      <c r="I54" s="252">
        <v>0.1</v>
      </c>
      <c r="J54" s="253">
        <v>0.4</v>
      </c>
      <c r="K54" s="253">
        <v>0.75</v>
      </c>
      <c r="L54" s="253">
        <v>0.95</v>
      </c>
      <c r="M54" s="253">
        <v>1</v>
      </c>
      <c r="N54" s="254">
        <v>1</v>
      </c>
      <c r="O54" s="117">
        <v>7.0000000000000001E-3</v>
      </c>
      <c r="P54" s="118">
        <v>7.0000000000000001E-3</v>
      </c>
      <c r="Q54" s="82">
        <v>1</v>
      </c>
      <c r="R54" s="83" t="s">
        <v>234</v>
      </c>
      <c r="S54" s="84" t="s">
        <v>235</v>
      </c>
      <c r="T54" s="117">
        <v>0.05</v>
      </c>
      <c r="U54" s="118">
        <v>0.05</v>
      </c>
      <c r="V54" s="82">
        <v>1</v>
      </c>
      <c r="W54" s="83" t="s">
        <v>263</v>
      </c>
      <c r="X54" s="85" t="s">
        <v>317</v>
      </c>
      <c r="Y54" s="255">
        <v>0.05</v>
      </c>
      <c r="Z54" s="256">
        <v>0.05</v>
      </c>
      <c r="AA54" s="257">
        <v>1</v>
      </c>
      <c r="AB54" s="211" t="s">
        <v>357</v>
      </c>
      <c r="AC54" s="71" t="s">
        <v>356</v>
      </c>
      <c r="AD54" s="265"/>
      <c r="AE54" s="278"/>
      <c r="AF54" s="289"/>
      <c r="AG54" s="428"/>
      <c r="AH54" s="71"/>
      <c r="AI54" s="259">
        <v>0.1</v>
      </c>
      <c r="AJ54" s="250">
        <v>0.1</v>
      </c>
      <c r="AK54" s="360">
        <v>1</v>
      </c>
      <c r="AL54" s="283">
        <v>0.1</v>
      </c>
      <c r="AM54" s="87">
        <v>0.4</v>
      </c>
      <c r="AN54" s="299">
        <v>0.4</v>
      </c>
      <c r="AO54" s="99">
        <f>AN54/AM54</f>
        <v>1</v>
      </c>
      <c r="AP54" s="264">
        <f>AN54/N54</f>
        <v>0.4</v>
      </c>
      <c r="AQ54" s="259">
        <v>0.75</v>
      </c>
      <c r="AR54" s="262">
        <v>0.75</v>
      </c>
      <c r="AS54" s="301">
        <v>1</v>
      </c>
      <c r="AT54" s="263">
        <v>0.75</v>
      </c>
      <c r="AU54" s="268">
        <f t="shared" si="0"/>
        <v>0.95</v>
      </c>
      <c r="AV54" s="256">
        <f>AR54+O54+T54+Y54</f>
        <v>0.8570000000000001</v>
      </c>
      <c r="AW54" s="302">
        <f>AV54/AU54</f>
        <v>0.90210526315789485</v>
      </c>
      <c r="AX54" s="429">
        <f>AV54/1</f>
        <v>0.8570000000000001</v>
      </c>
      <c r="AY54" s="259"/>
      <c r="AZ54" s="250"/>
      <c r="BA54" s="250"/>
      <c r="BB54" s="251"/>
    </row>
    <row r="55" spans="1:54" ht="356.25" customHeight="1" x14ac:dyDescent="0.25">
      <c r="A55" s="212" t="s">
        <v>389</v>
      </c>
      <c r="B55" s="288">
        <v>31</v>
      </c>
      <c r="C55" s="390" t="s">
        <v>178</v>
      </c>
      <c r="D55" s="248" t="s">
        <v>179</v>
      </c>
      <c r="E55" s="248" t="s">
        <v>181</v>
      </c>
      <c r="F55" s="248" t="s">
        <v>181</v>
      </c>
      <c r="G55" s="250" t="s">
        <v>10</v>
      </c>
      <c r="H55" s="251" t="s">
        <v>107</v>
      </c>
      <c r="I55" s="252">
        <v>0.1</v>
      </c>
      <c r="J55" s="253">
        <v>0.4</v>
      </c>
      <c r="K55" s="253">
        <v>0.75</v>
      </c>
      <c r="L55" s="253">
        <v>1</v>
      </c>
      <c r="M55" s="253">
        <v>0</v>
      </c>
      <c r="N55" s="254">
        <v>1</v>
      </c>
      <c r="O55" s="117" t="s">
        <v>236</v>
      </c>
      <c r="P55" s="118" t="s">
        <v>236</v>
      </c>
      <c r="Q55" s="82" t="s">
        <v>237</v>
      </c>
      <c r="R55" s="83" t="s">
        <v>238</v>
      </c>
      <c r="S55" s="84" t="s">
        <v>239</v>
      </c>
      <c r="T55" s="117">
        <v>7.4999999999999997E-2</v>
      </c>
      <c r="U55" s="118">
        <v>7.4999999999999997E-2</v>
      </c>
      <c r="V55" s="82">
        <v>1</v>
      </c>
      <c r="W55" s="83" t="s">
        <v>264</v>
      </c>
      <c r="X55" s="85" t="s">
        <v>318</v>
      </c>
      <c r="Y55" s="297">
        <v>7.4999999999999997E-2</v>
      </c>
      <c r="Z55" s="298">
        <v>7.4999999999999997E-2</v>
      </c>
      <c r="AA55" s="257">
        <v>1</v>
      </c>
      <c r="AB55" s="249" t="s">
        <v>359</v>
      </c>
      <c r="AC55" s="71" t="s">
        <v>358</v>
      </c>
      <c r="AD55" s="265"/>
      <c r="AE55" s="278"/>
      <c r="AF55" s="289"/>
      <c r="AG55" s="59"/>
      <c r="AH55" s="71"/>
      <c r="AI55" s="259">
        <v>0.1</v>
      </c>
      <c r="AJ55" s="250">
        <v>0.1</v>
      </c>
      <c r="AK55" s="269">
        <v>1</v>
      </c>
      <c r="AL55" s="283">
        <v>0.1</v>
      </c>
      <c r="AM55" s="87">
        <v>0.4</v>
      </c>
      <c r="AN55" s="81">
        <v>0.4</v>
      </c>
      <c r="AO55" s="99">
        <f>AN55/AM55</f>
        <v>1</v>
      </c>
      <c r="AP55" s="264">
        <f>AN55/N55</f>
        <v>0.4</v>
      </c>
      <c r="AQ55" s="259">
        <v>0.75</v>
      </c>
      <c r="AR55" s="262">
        <v>0.75</v>
      </c>
      <c r="AS55" s="289">
        <v>0.99999999999999989</v>
      </c>
      <c r="AT55" s="263">
        <v>0.74999999999999989</v>
      </c>
      <c r="AU55" s="284">
        <f t="shared" si="0"/>
        <v>1</v>
      </c>
      <c r="AV55" s="256">
        <f>AR55+T55+Y55</f>
        <v>0.89999999999999991</v>
      </c>
      <c r="AW55" s="302">
        <f>AV55/AU55</f>
        <v>0.89999999999999991</v>
      </c>
      <c r="AX55" s="270">
        <f>AV55/1</f>
        <v>0.89999999999999991</v>
      </c>
      <c r="AY55" s="259"/>
      <c r="AZ55" s="250"/>
      <c r="BA55" s="250"/>
      <c r="BB55" s="251"/>
    </row>
    <row r="56" spans="1:54" ht="141.75" customHeight="1" thickBot="1" x14ac:dyDescent="0.3">
      <c r="A56" s="212" t="s">
        <v>389</v>
      </c>
      <c r="B56" s="430">
        <v>32</v>
      </c>
      <c r="C56" s="431" t="s">
        <v>182</v>
      </c>
      <c r="D56" s="432" t="s">
        <v>183</v>
      </c>
      <c r="E56" s="432" t="s">
        <v>184</v>
      </c>
      <c r="F56" s="433" t="s">
        <v>184</v>
      </c>
      <c r="G56" s="434" t="s">
        <v>12</v>
      </c>
      <c r="H56" s="435" t="s">
        <v>185</v>
      </c>
      <c r="I56" s="436">
        <v>1</v>
      </c>
      <c r="J56" s="437">
        <v>1</v>
      </c>
      <c r="K56" s="437">
        <v>1</v>
      </c>
      <c r="L56" s="437">
        <v>1</v>
      </c>
      <c r="M56" s="437">
        <v>1</v>
      </c>
      <c r="N56" s="438">
        <v>1</v>
      </c>
      <c r="O56" s="119">
        <v>0.25</v>
      </c>
      <c r="P56" s="120">
        <v>0.25</v>
      </c>
      <c r="Q56" s="121">
        <v>1</v>
      </c>
      <c r="R56" s="122" t="s">
        <v>245</v>
      </c>
      <c r="S56" s="123" t="s">
        <v>246</v>
      </c>
      <c r="T56" s="119">
        <v>0.25</v>
      </c>
      <c r="U56" s="120">
        <v>0.25</v>
      </c>
      <c r="V56" s="121">
        <v>1</v>
      </c>
      <c r="W56" s="122" t="s">
        <v>257</v>
      </c>
      <c r="X56" s="124" t="s">
        <v>256</v>
      </c>
      <c r="Y56" s="439">
        <v>0.25</v>
      </c>
      <c r="Z56" s="440">
        <v>0.25</v>
      </c>
      <c r="AA56" s="441">
        <v>1</v>
      </c>
      <c r="AB56" s="442" t="s">
        <v>362</v>
      </c>
      <c r="AC56" s="443" t="s">
        <v>363</v>
      </c>
      <c r="AD56" s="439"/>
      <c r="AE56" s="440"/>
      <c r="AF56" s="441"/>
      <c r="AG56" s="442"/>
      <c r="AH56" s="443"/>
      <c r="AI56" s="444">
        <v>1</v>
      </c>
      <c r="AJ56" s="434">
        <v>1</v>
      </c>
      <c r="AK56" s="445">
        <v>1</v>
      </c>
      <c r="AL56" s="446">
        <v>0.2</v>
      </c>
      <c r="AM56" s="119">
        <v>1</v>
      </c>
      <c r="AN56" s="120">
        <v>1</v>
      </c>
      <c r="AO56" s="121">
        <v>1</v>
      </c>
      <c r="AP56" s="447">
        <f>AL56+(20%*AO56)</f>
        <v>0.4</v>
      </c>
      <c r="AQ56" s="444">
        <v>1</v>
      </c>
      <c r="AR56" s="434">
        <v>1</v>
      </c>
      <c r="AS56" s="445">
        <v>1</v>
      </c>
      <c r="AT56" s="446">
        <v>0.60000000000000009</v>
      </c>
      <c r="AU56" s="448">
        <f t="shared" si="0"/>
        <v>1</v>
      </c>
      <c r="AV56" s="434">
        <v>0.75</v>
      </c>
      <c r="AW56" s="449">
        <f>AV56/AU56</f>
        <v>0.75</v>
      </c>
      <c r="AX56" s="450">
        <f>AT56+(20%*AW56)</f>
        <v>0.75000000000000011</v>
      </c>
      <c r="AY56" s="444"/>
      <c r="AZ56" s="434"/>
      <c r="BA56" s="434"/>
      <c r="BB56" s="435"/>
    </row>
    <row r="57" spans="1:54" x14ac:dyDescent="0.25">
      <c r="F57" s="15"/>
      <c r="R57" s="125"/>
      <c r="AA57" s="32"/>
    </row>
    <row r="58" spans="1:54" x14ac:dyDescent="0.25">
      <c r="F58" s="15"/>
      <c r="R58" s="126"/>
      <c r="AA58" s="32"/>
      <c r="AW58" s="55"/>
    </row>
    <row r="59" spans="1:54" x14ac:dyDescent="0.25">
      <c r="F59" s="15"/>
      <c r="R59" s="126"/>
      <c r="AA59" s="32"/>
    </row>
    <row r="60" spans="1:54" x14ac:dyDescent="0.25">
      <c r="F60" s="15"/>
      <c r="R60" s="13"/>
      <c r="AA60" s="32"/>
    </row>
    <row r="61" spans="1:54" x14ac:dyDescent="0.25">
      <c r="F61" s="15"/>
      <c r="AA61" s="32"/>
    </row>
    <row r="62" spans="1:54" x14ac:dyDescent="0.25">
      <c r="F62" s="15"/>
      <c r="AA62" s="32"/>
    </row>
    <row r="63" spans="1:54" x14ac:dyDescent="0.25">
      <c r="F63" s="15"/>
      <c r="AA63" s="32"/>
      <c r="AX63" s="19"/>
    </row>
    <row r="64" spans="1:54" x14ac:dyDescent="0.25">
      <c r="F64" s="15"/>
      <c r="AA64" s="32"/>
    </row>
    <row r="65" spans="6:27" x14ac:dyDescent="0.25">
      <c r="F65" s="15"/>
      <c r="AA65" s="32"/>
    </row>
    <row r="66" spans="6:27" x14ac:dyDescent="0.25">
      <c r="F66" s="15"/>
      <c r="AA66" s="32"/>
    </row>
    <row r="67" spans="6:27" x14ac:dyDescent="0.25">
      <c r="F67" s="15"/>
      <c r="AA67" s="32"/>
    </row>
    <row r="68" spans="6:27" x14ac:dyDescent="0.25">
      <c r="F68" s="15"/>
      <c r="AA68" s="32"/>
    </row>
    <row r="69" spans="6:27" x14ac:dyDescent="0.25">
      <c r="F69" s="15"/>
      <c r="AA69" s="32"/>
    </row>
    <row r="70" spans="6:27" x14ac:dyDescent="0.25">
      <c r="F70" s="15"/>
      <c r="AA70" s="32"/>
    </row>
    <row r="71" spans="6:27" x14ac:dyDescent="0.25">
      <c r="F71" s="15"/>
      <c r="AA71" s="32"/>
    </row>
    <row r="72" spans="6:27" x14ac:dyDescent="0.25">
      <c r="F72" s="15"/>
      <c r="AA72" s="32"/>
    </row>
    <row r="73" spans="6:27" x14ac:dyDescent="0.25">
      <c r="F73" s="15"/>
      <c r="AA73" s="32"/>
    </row>
    <row r="74" spans="6:27" x14ac:dyDescent="0.25">
      <c r="F74" s="15"/>
      <c r="AA74" s="32"/>
    </row>
    <row r="75" spans="6:27" x14ac:dyDescent="0.25">
      <c r="F75" s="15"/>
      <c r="AA75" s="32"/>
    </row>
    <row r="76" spans="6:27" x14ac:dyDescent="0.25">
      <c r="F76" s="15"/>
      <c r="AA76" s="32"/>
    </row>
    <row r="77" spans="6:27" x14ac:dyDescent="0.25">
      <c r="F77" s="15"/>
      <c r="AA77" s="32"/>
    </row>
    <row r="78" spans="6:27" x14ac:dyDescent="0.25">
      <c r="F78" s="15"/>
      <c r="AA78" s="32"/>
    </row>
    <row r="79" spans="6:27" x14ac:dyDescent="0.25">
      <c r="F79" s="15"/>
      <c r="AA79" s="32"/>
    </row>
    <row r="80" spans="6:27" x14ac:dyDescent="0.25">
      <c r="F80" s="15"/>
      <c r="AA80" s="32"/>
    </row>
    <row r="81" spans="6:27" x14ac:dyDescent="0.25">
      <c r="F81" s="15"/>
      <c r="AA81" s="32"/>
    </row>
    <row r="82" spans="6:27" x14ac:dyDescent="0.25">
      <c r="F82" s="15"/>
      <c r="AA82" s="32"/>
    </row>
    <row r="83" spans="6:27" x14ac:dyDescent="0.25">
      <c r="F83" s="15"/>
      <c r="AA83" s="32"/>
    </row>
    <row r="84" spans="6:27" x14ac:dyDescent="0.25">
      <c r="F84" s="15"/>
      <c r="AA84" s="32"/>
    </row>
    <row r="85" spans="6:27" x14ac:dyDescent="0.25">
      <c r="F85" s="15"/>
      <c r="AA85" s="32"/>
    </row>
    <row r="86" spans="6:27" x14ac:dyDescent="0.25">
      <c r="F86" s="15"/>
      <c r="AA86" s="32"/>
    </row>
    <row r="87" spans="6:27" x14ac:dyDescent="0.25">
      <c r="F87" s="15"/>
      <c r="AA87" s="32"/>
    </row>
    <row r="88" spans="6:27" x14ac:dyDescent="0.25">
      <c r="F88" s="15"/>
      <c r="AA88" s="32"/>
    </row>
    <row r="89" spans="6:27" x14ac:dyDescent="0.25">
      <c r="F89" s="15"/>
      <c r="AA89" s="32"/>
    </row>
    <row r="90" spans="6:27" x14ac:dyDescent="0.25">
      <c r="F90" s="15"/>
      <c r="AA90" s="32"/>
    </row>
    <row r="91" spans="6:27" x14ac:dyDescent="0.25">
      <c r="F91" s="15"/>
      <c r="AA91" s="32"/>
    </row>
  </sheetData>
  <sheetProtection autoFilter="0"/>
  <autoFilter ref="A21:BQ56" xr:uid="{00000000-0001-0000-0000-000000000000}"/>
  <mergeCells count="32">
    <mergeCell ref="O19:S20"/>
    <mergeCell ref="Y19:AC20"/>
    <mergeCell ref="H20:H21"/>
    <mergeCell ref="G20:G21"/>
    <mergeCell ref="F1:AI5"/>
    <mergeCell ref="F8:G8"/>
    <mergeCell ref="J16:N16"/>
    <mergeCell ref="J17:N17"/>
    <mergeCell ref="A7:E7"/>
    <mergeCell ref="A18:AH18"/>
    <mergeCell ref="H13:N13"/>
    <mergeCell ref="J14:N14"/>
    <mergeCell ref="AB15:AI15"/>
    <mergeCell ref="A8:E8"/>
    <mergeCell ref="F7:G7"/>
    <mergeCell ref="J15:N15"/>
    <mergeCell ref="AY20:BB20"/>
    <mergeCell ref="AI19:BB19"/>
    <mergeCell ref="A19:N19"/>
    <mergeCell ref="D20:D21"/>
    <mergeCell ref="C20:C21"/>
    <mergeCell ref="B20:B21"/>
    <mergeCell ref="A20:A21"/>
    <mergeCell ref="E20:E21"/>
    <mergeCell ref="T19:X20"/>
    <mergeCell ref="I20:N20"/>
    <mergeCell ref="AM20:AP20"/>
    <mergeCell ref="AQ20:AT20"/>
    <mergeCell ref="AU20:AX20"/>
    <mergeCell ref="AD19:AH20"/>
    <mergeCell ref="AI20:AL20"/>
    <mergeCell ref="F20:F21"/>
  </mergeCells>
  <phoneticPr fontId="14" type="noConversion"/>
  <dataValidations xWindow="1209" yWindow="636" count="4">
    <dataValidation type="list" allowBlank="1" showInputMessage="1" showErrorMessage="1" sqref="G22:G56" xr:uid="{00000000-0002-0000-0000-000000000000}">
      <formula1>$A$13:$A$15</formula1>
    </dataValidation>
    <dataValidation type="textLength" allowBlank="1" showInputMessage="1" showErrorMessage="1" error="Por favor incluir máximo 2.500 caracteres, incluido espacios." prompt="Recuerde que este campo tiene máximo 2.500 caracteres incluido espacios." sqref="AB41 W55 R42:R65528 W39 R39 R34:R36 W51 R19:R20 R22:R32" xr:uid="{00000000-0002-0000-0000-000001000000}">
      <formula1>1</formula1>
      <formula2>2500</formula2>
    </dataValidation>
    <dataValidation type="textLength" allowBlank="1" showInputMessage="1" showErrorMessage="1" error="Por favor ingresar máximo 2500 caracteres, incluido espacios. " sqref="R38" xr:uid="{D28323ED-7875-4C81-87FB-20B7D53712BB}">
      <formula1>1</formula1>
      <formula2>2500</formula2>
    </dataValidation>
    <dataValidation allowBlank="1" showInputMessage="1" showErrorMessage="1" error="Por favor incluir máximo 2.500 caracteres, incluido espacios." sqref="T1:AI18 R1:R18 A1:N18" xr:uid="{00000000-0002-0000-0000-000002000000}"/>
  </dataValidations>
  <pageMargins left="0.7" right="0.7" top="0.75" bottom="0.75" header="0.3" footer="0.3"/>
  <pageSetup scale="10" orientation="portrait" r:id="rId1"/>
  <colBreaks count="1" manualBreakCount="1">
    <brk id="54"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Aleyda Ayala</dc:creator>
  <cp:keywords/>
  <dc:description/>
  <cp:lastModifiedBy>Yamile Espinosa Galindo</cp:lastModifiedBy>
  <cp:revision/>
  <cp:lastPrinted>2023-07-27T19:29:18Z</cp:lastPrinted>
  <dcterms:created xsi:type="dcterms:W3CDTF">2020-10-22T20:23:49Z</dcterms:created>
  <dcterms:modified xsi:type="dcterms:W3CDTF">2023-10-23T20:21:03Z</dcterms:modified>
  <cp:category/>
  <cp:contentStatus/>
</cp:coreProperties>
</file>