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8 RAFAEL URIBE/"/>
    </mc:Choice>
  </mc:AlternateContent>
  <xr:revisionPtr revIDLastSave="503" documentId="13_ncr:1_{3E8A3926-0BFD-4ECD-AECE-437A52A01117}" xr6:coauthVersionLast="47" xr6:coauthVersionMax="47" xr10:uidLastSave="{5726C7D9-80A0-4AD1-AD38-B2836CCAD432}"/>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2" i="1" l="1"/>
  <c r="AQ24" i="1"/>
  <c r="AQ16" i="1"/>
  <c r="AP39" i="1"/>
  <c r="AL39" i="1"/>
  <c r="AQ23" i="1"/>
  <c r="AQ21" i="1"/>
  <c r="AQ35" i="1" l="1"/>
  <c r="AQ37" i="1"/>
  <c r="AQ34" i="1"/>
  <c r="AQ33" i="1"/>
  <c r="AQ31" i="1"/>
  <c r="AQ29" i="1"/>
  <c r="AQ30" i="1"/>
  <c r="AQ26" i="1"/>
  <c r="AQ27" i="1"/>
  <c r="AQ28" i="1"/>
  <c r="AQ25" i="1"/>
  <c r="AB39" i="1"/>
  <c r="AQ39" i="1" s="1"/>
  <c r="X39" i="1" l="1"/>
  <c r="X38" i="1"/>
  <c r="X36" i="1"/>
  <c r="X34" i="1"/>
  <c r="W22" i="1" l="1"/>
  <c r="AQ22" i="1" s="1"/>
  <c r="W20" i="1"/>
  <c r="AQ20" i="1" s="1"/>
  <c r="W19" i="1"/>
  <c r="AQ19" i="1" s="1"/>
  <c r="W18" i="1"/>
  <c r="AQ18" i="1" s="1"/>
  <c r="W17" i="1"/>
  <c r="AQ17" i="1" s="1"/>
  <c r="AR39" i="1"/>
  <c r="AK39" i="1"/>
  <c r="AM39" i="1" s="1"/>
  <c r="AF39" i="1"/>
  <c r="AH39" i="1" s="1"/>
  <c r="AA39" i="1"/>
  <c r="AC39" i="1" s="1"/>
  <c r="AP38" i="1"/>
  <c r="AR38" i="1" s="1"/>
  <c r="AP37" i="1"/>
  <c r="AR37" i="1" s="1"/>
  <c r="AK37" i="1"/>
  <c r="AM37" i="1" s="1"/>
  <c r="AA37" i="1"/>
  <c r="AC37" i="1" s="1"/>
  <c r="AP36" i="1"/>
  <c r="AR36" i="1" s="1"/>
  <c r="AK36" i="1"/>
  <c r="AF36" i="1"/>
  <c r="AH36" i="1" s="1"/>
  <c r="AA36" i="1"/>
  <c r="AP35" i="1"/>
  <c r="AR35" i="1" s="1"/>
  <c r="AK35" i="1"/>
  <c r="AM35" i="1" s="1"/>
  <c r="AF35" i="1"/>
  <c r="AH35" i="1" s="1"/>
  <c r="AA35" i="1"/>
  <c r="AC35" i="1" s="1"/>
  <c r="AP34" i="1"/>
  <c r="AR34" i="1" s="1"/>
  <c r="AK34" i="1"/>
  <c r="AM34" i="1" s="1"/>
  <c r="AF34" i="1"/>
  <c r="AH34" i="1" s="1"/>
  <c r="AA34" i="1"/>
  <c r="AC34" i="1" s="1"/>
  <c r="AP33" i="1"/>
  <c r="AR33" i="1" s="1"/>
  <c r="AK33" i="1"/>
  <c r="AM33" i="1" s="1"/>
  <c r="AA33" i="1"/>
  <c r="AC33" i="1" s="1"/>
  <c r="P31" i="1"/>
  <c r="P30" i="1"/>
  <c r="P29" i="1"/>
  <c r="P28" i="1"/>
  <c r="P27" i="1"/>
  <c r="P26" i="1"/>
  <c r="P25" i="1"/>
  <c r="AR40" i="1" l="1"/>
  <c r="AP16" i="1"/>
  <c r="AR16" i="1" s="1"/>
  <c r="AK16" i="1"/>
  <c r="AM16" i="1" s="1"/>
  <c r="AM40" i="1"/>
  <c r="AP31" i="1"/>
  <c r="AR31" i="1" s="1"/>
  <c r="AP30" i="1"/>
  <c r="AR30" i="1" s="1"/>
  <c r="AP29" i="1"/>
  <c r="AR29"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H40" i="1"/>
  <c r="AF31" i="1"/>
  <c r="AH31" i="1" s="1"/>
  <c r="AF30" i="1"/>
  <c r="AH30" i="1" s="1"/>
  <c r="AF29" i="1"/>
  <c r="AH29" i="1" s="1"/>
  <c r="AF28" i="1"/>
  <c r="AH28" i="1" s="1"/>
  <c r="AF27" i="1"/>
  <c r="AH27" i="1" s="1"/>
  <c r="AF26" i="1"/>
  <c r="AH26" i="1" s="1"/>
  <c r="AF25" i="1"/>
  <c r="AH25" i="1" s="1"/>
  <c r="AF24" i="1"/>
  <c r="AF23" i="1"/>
  <c r="AH23" i="1" s="1"/>
  <c r="AF22" i="1"/>
  <c r="AH22" i="1" s="1"/>
  <c r="AF21" i="1"/>
  <c r="AH21" i="1" s="1"/>
  <c r="AF20" i="1"/>
  <c r="AH20" i="1" s="1"/>
  <c r="AF19" i="1"/>
  <c r="AH19" i="1" s="1"/>
  <c r="AF18" i="1"/>
  <c r="AH18" i="1" s="1"/>
  <c r="AF17" i="1"/>
  <c r="AH17" i="1" s="1"/>
  <c r="AF16" i="1"/>
  <c r="AC40" i="1"/>
  <c r="AA31" i="1"/>
  <c r="AC31" i="1" s="1"/>
  <c r="AA30" i="1"/>
  <c r="AC30" i="1" s="1"/>
  <c r="AA29" i="1"/>
  <c r="AC29" i="1" s="1"/>
  <c r="AA28" i="1"/>
  <c r="AC28" i="1" s="1"/>
  <c r="AA27" i="1"/>
  <c r="AC27" i="1" s="1"/>
  <c r="AA26" i="1"/>
  <c r="AC26" i="1" s="1"/>
  <c r="AA25" i="1"/>
  <c r="AC25" i="1" s="1"/>
  <c r="AA24" i="1"/>
  <c r="AA23" i="1"/>
  <c r="AC23" i="1" s="1"/>
  <c r="AA22" i="1"/>
  <c r="AC22" i="1" s="1"/>
  <c r="AA21" i="1"/>
  <c r="AC21" i="1" s="1"/>
  <c r="AA20" i="1"/>
  <c r="AC20" i="1" s="1"/>
  <c r="AA19" i="1"/>
  <c r="AC19" i="1" s="1"/>
  <c r="AA18" i="1"/>
  <c r="AC18" i="1" s="1"/>
  <c r="AA17" i="1"/>
  <c r="AC17" i="1" s="1"/>
  <c r="AA16" i="1"/>
  <c r="X40" i="1"/>
  <c r="V31" i="1"/>
  <c r="X31" i="1" s="1"/>
  <c r="V30" i="1"/>
  <c r="X30" i="1" s="1"/>
  <c r="V29" i="1"/>
  <c r="X29" i="1" s="1"/>
  <c r="V28" i="1"/>
  <c r="X28" i="1" s="1"/>
  <c r="V27" i="1"/>
  <c r="X27" i="1" s="1"/>
  <c r="V26" i="1"/>
  <c r="X26" i="1" s="1"/>
  <c r="V25" i="1"/>
  <c r="X25" i="1" s="1"/>
  <c r="V23" i="1"/>
  <c r="V22" i="1"/>
  <c r="X22" i="1" s="1"/>
  <c r="V21" i="1"/>
  <c r="V20" i="1"/>
  <c r="X20" i="1" s="1"/>
  <c r="V19" i="1"/>
  <c r="X19" i="1" s="1"/>
  <c r="V18" i="1"/>
  <c r="X18" i="1" s="1"/>
  <c r="V17" i="1"/>
  <c r="X17" i="1" s="1"/>
  <c r="AC32" i="1" l="1"/>
  <c r="AC41" i="1" s="1"/>
  <c r="X32" i="1"/>
  <c r="X41" i="1" s="1"/>
  <c r="AM32" i="1"/>
  <c r="AM41" i="1" s="1"/>
  <c r="AR32" i="1"/>
  <c r="AR41" i="1" s="1"/>
  <c r="AH32" i="1"/>
  <c r="AH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2" authorId="0" shapeId="0" xr:uid="{00000000-0006-0000-0000-000032000000}">
      <text>
        <r>
          <rPr>
            <b/>
            <sz val="9"/>
            <color indexed="81"/>
            <rFont val="Tahoma"/>
            <family val="2"/>
          </rPr>
          <t>Promedio obtenido para el periodo x 80%</t>
        </r>
      </text>
    </comment>
    <comment ref="E40" authorId="0" shapeId="0" xr:uid="{00000000-0006-0000-0000-000033000000}">
      <text>
        <r>
          <rPr>
            <b/>
            <sz val="9"/>
            <color indexed="81"/>
            <rFont val="Tahoma"/>
            <family val="2"/>
          </rPr>
          <t>Promedio obtenido en las metas transversales para el periodo x 20%</t>
        </r>
      </text>
    </comment>
    <comment ref="E41"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<sst xmlns="http://schemas.openxmlformats.org/spreadsheetml/2006/main" count="681" uniqueCount="353">
  <si>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RAFAEL URIBE URIBE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</si>
  <si>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</si>
  <si>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</si>
  <si>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</si>
  <si>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</si>
  <si>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</si>
  <si>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</si>
  <si>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</si>
  <si>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14655</t>
    </r>
  </si>
  <si>
    <t>10 de mayo de 2024</t>
  </si>
  <si>
    <t>Para el primer trimestre de la vigencia 2024, el Plan de Gestión de la Alcaldía   alcanzó un nivel de desempeño del 67,83% y 18,26% acumulado para la vigencia.</t>
  </si>
  <si>
    <t>30 de julio de 2024</t>
  </si>
  <si>
    <t>Para el segundo trimestre de la vigencia 2024, el Plan de Gestión de la Alcaldía   alcanzó un nivel de desempeño del 72,95% y 40,70% acumulado para la vigencia.</t>
  </si>
  <si>
    <t>30 de octubre de 2024</t>
  </si>
  <si>
    <t>Para el tercer trimestre de la vigencia 2024, el Plan de Gestión de la Alcaldía   alcanzó un nivel de desempeño del 78,15% y 55,31% acumulado para la vigencia.</t>
  </si>
  <si>
    <t>31 de enero de 2025</t>
  </si>
  <si>
    <t>Para el cuarto trimestre de la vigencia 2024, el Plan de Gestión de la Alcaldía   alcanzó un nivel de desempeño del 80,68% y 78,12% acumulado para la vigencia.</t>
  </si>
  <si>
    <t>De acuerdo con la respuesta allegada por correo electrónico a las observaciones realizadas a las metas técnicas 1 y 7 cuarto trimestre de la vigencia 2024, el Plan de Gestión de la Alcaldía   alcanzó un nivel de desempeño del 80,68% y 78,12%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</si>
  <si>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</si>
  <si>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</si>
  <si>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</si>
  <si>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</si>
  <si>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</si>
  <si>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</si>
  <si>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</si>
  <si>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</si>
  <si>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</si>
  <si>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</si>
  <si>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</si>
  <si>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</si>
  <si>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</si>
  <si>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</si>
  <si>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</si>
  <si>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</si>
  <si>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</si>
  <si>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</si>
  <si>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</si>
  <si>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</si>
  <si>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</si>
  <si>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</si>
  <si>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</si>
  <si>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</si>
  <si>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</si>
  <si>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</si>
  <si>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</si>
  <si>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</si>
  <si>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</si>
  <si>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</si>
  <si>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</si>
  <si>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</si>
  <si>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</si>
  <si>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</si>
  <si>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</si>
  <si>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</si>
  <si>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</si>
  <si>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</si>
  <si>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</si>
  <si>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</si>
  <si>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</si>
  <si>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</si>
  <si>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</si>
  <si>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</si>
  <si>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</si>
  <si>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</si>
  <si>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</si>
  <si>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</si>
  <si>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Administrativa y Financiera</t>
  </si>
  <si>
    <t>Dirección para la Gestión del Desarrollo Local</t>
  </si>
  <si>
    <t>No programada</t>
  </si>
  <si>
    <t>No programada para el trimestre</t>
  </si>
  <si>
    <t xml:space="preserve">Meta no programada </t>
  </si>
  <si>
    <t>Meta no Programada para el tercer trimestre.</t>
  </si>
  <si>
    <t>Con corte a 30 de septiembre de 2024, se cuenta con un avance de metas entregadas de 32,5%</t>
  </si>
  <si>
    <t>SEGPLAN MUSI</t>
  </si>
  <si>
    <t>Se logró alcanzar un cumplimiento de un 43,33% de la meta programada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</si>
  <si>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</si>
  <si>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</si>
  <si>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</si>
  <si>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</si>
  <si>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</si>
  <si>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</si>
  <si>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</si>
  <si>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</si>
  <si>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Esta meta la reporta la Dirección para la Gestión del Desarrollo Local de la SDG. Donde Giros un valor de $4.911.320.900 de Giros acumulados, de un valor de $53.191.965.014 correspondiente al Presupuesto comprometido constituido como obligaciones por pagar de la vigencia 2023, para un 9,23% de avance de ejecución y un 65,95% de cumplimiento en el trimestre.</t>
  </si>
  <si>
    <t>Reporte emitido por la DGDL</t>
  </si>
  <si>
    <t xml:space="preserve">A corte de 30 de junio, se han realizado los giros de las personas naturales y juridicas que radicaron cuentas de cobro en el segundo trimestre del año, por valor de $10.816.343.914 de $53.397.205.014 correspondiente al presupuesto comprometido de obligaciones por pagar de la vigencia 2023, logrando un avance de ejecución del 20,36% y un  cumplimiento del 75,04% en el trimestre. </t>
  </si>
  <si>
    <t>Ejecucion presupuestal Emitido por la Oficina de Presupuesto del FDL-RUU</t>
  </si>
  <si>
    <t>Se realizaron Giros acumulados de obligaciones por pagar 2023 por valor de $23.777.142.354, de un Presupuesto comprometido de obligaciones por pagar 2023 de un valor de $53.343.186.246, logrando un avance de ejecución del 44,57% y un cuplimiento del 99,05% en el trimestre.</t>
  </si>
  <si>
    <t>Ejecución presupuestal BOGDATA
Reporte DGP</t>
  </si>
  <si>
    <t>Se realizaron Giros acumulados de obligaciones por pagar 2023 por valor de $ $35.300.696.549, de un Presupuesto comprometido de obligaciones por pagar 2023 de un valor de $53.343.186.246, logrando un avance de ejecución del 66,18% y un cumplimiento del 100% en el trimestre.</t>
  </si>
  <si>
    <t>Se adjunta matriz acumulada a diciembre.</t>
  </si>
  <si>
    <t>Se logró alcanzar un cumplimiento de un 100,00% de la meta programada para la vigencia.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</si>
  <si>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</si>
  <si>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</si>
  <si>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</si>
  <si>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</si>
  <si>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giró el valor de $674.330.188 de Giros acumulados de un valor de $12.039.856.262 del Presupuesto comprometido constituido como obligaciones por pagar de la vigencia 2022 y anteriores, para un avance de ejecución del 5,60% y un cumplimiento del 46,67% en el trimestre.  Sin embargo, se aclara que,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</si>
  <si>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 xml:space="preserve">A corte de 30 de junio de 2024, se han realizado los giros de las personas naturales y juridicas que radicaron cuentas de cobro en el segundo trimestre del año, por valor de $10.816.343.914 de $53.397.205.014 correspondiente al presupuesto comprometido de obligaciones por pagar de la vigencia 2023, logrando un avance de ejecución del  6,34% y un cumplimiento del 25,36% en el trimestre. </t>
  </si>
  <si>
    <t xml:space="preserve">
Se realizaron Giros acumulados de obligaciones por pagar vigencias anteriores: $2.525.161.087
Presupuesto comprometido de obligaciones por pagar vigencias anteriores: $11.903.792.834, logrando un avance de ejecución del 21,21% y un cuplimiento del 49,33% en el trimestre.</t>
  </si>
  <si>
    <t xml:space="preserve">
Se realizaron Giros acumulados de obligaciones por pagar vigencias anteriores:    $ 3.165.381.644
Presupuesto comprometido de obligaciones por pagar vigencias anteriores: $11.903.792.834, logrando un avance de ejecución del 26,59% y un cumplimiento del 42,21% en el trimestre.</t>
  </si>
  <si>
    <t>Se logró alcanzar un cumplimiento de un 42,21% de la meta programada para la vigencia.</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</si>
  <si>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</si>
  <si>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</si>
  <si>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</si>
  <si>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</si>
  <si>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giró la suma de $ 6.580.932.808 correspondiente al Valor de RP de inversión directa de la vigencia   del $107.359.187.000, equivalente al Valor total del presupuesto de inversión directa de la Vigencia, para un avance de ejecución de 6,13% y un cumplimiento del 30,65% en el trimestre.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</si>
  <si>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Se han gestionado los CDPs y RPs de contratacion directa correspondiente a la vigencia del 2024 radicados por el area encargada. Por lo que se se comprometio por RP de inversión directa de la vigencia 2024 a corte de 30 de Junio de 2024 el valor de $12.886.070.383 de un Valor total del presupuesto de inversión directa de la Vigencia 2024 correspondiente a $ 107.359.187.000, logrando un avance de ejecución del 12% y un cumplimiento del 40% en el trimestre.</t>
  </si>
  <si>
    <t xml:space="preserve">
Se cuenta con un presupuesto comprometido de Inversion Directa por valor de $31.099.280.359
de una Apropiación inicial presupuesto Inversión Directa de $110.756.041.000, logrando un avance de ejecución de 28,08% y un cumplimiento de 46,80% en el trimestre.</t>
  </si>
  <si>
    <t>Se cuenta con un presupuesto comprometido de Inversión Directa por valor de $99.163.646.926
de una Apropiación inicial presupuesto Inversión Directa de $107.609.187.000, logrando un avance de ejecución de 92,15% y un cumplimiento de 95,99% en el  corte del IV trimestre.</t>
  </si>
  <si>
    <t>Reporte de ejecución presupuestal a 31 de diciembre de 2024</t>
  </si>
  <si>
    <t>Se logró alcanzar un cumplimiento de un 95,99% de la meta programada para la vigencia.</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</si>
  <si>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</si>
  <si>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</si>
  <si>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</si>
  <si>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</si>
  <si>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Se giró un valor de $ 2.539.019.157 de Giros acumulados de inversión directa de un valor del $107.359.187.000 del Presupuesto disponible de inversión directa de la vigencia, para un avance de ejecución del 2,36% y un cumplimiento del 23,65% en el trimestre.
Se aclara que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</si>
  <si>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Se han realizado Giros acumulados de inversión directa de la vigencia 2024 por valor de $ 7.437.176.275, a corte de 30 de Junio de 2024, de $107.359.187.000 correspondiente al Valor del Presupuesto disponible de inversión directa de la vigencia 2024. Logrando un avance de jecución del 6,93% y un cumplimiento del 27,72% en el trimestre.</t>
  </si>
  <si>
    <t>Se realizaron Giros acumulados de Inversion Directa por valor de $13.713.209.403, de una Apropiación disponible de Inversion Directa de $111.906.041.000,  logrando un avance de ejecución de 12,25% y un cumplimiento de 35,01% en el trimestre.</t>
  </si>
  <si>
    <t>Se realizaron Giros acumulados de Inversion Directa por valor de $33.728.177.063, de una Apropiación disponible de Inversion Directa de $107.609.187.000,,  logrando un avance de ejecución de 31,34% y un cumplimiento de 60,27% en el corte del IV trimestre.</t>
  </si>
  <si>
    <t>Se logró alcanzar un cumplimiento de un 60,27% de la meta programada para la vigencia.</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</si>
  <si>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</si>
  <si>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</si>
  <si>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</si>
  <si>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</si>
  <si>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</si>
  <si>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</si>
  <si>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</si>
  <si>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</si>
  <si>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</si>
  <si>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</si>
  <si>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la Direccion para la Gestion del Desarrollo Local no emitio, ni envio respuesta sobre el avance de esta meta</t>
  </si>
  <si>
    <t xml:space="preserve">la DGDL no reporto informe de seguimento a meta </t>
  </si>
  <si>
    <t>El FDL-RUU registro 365 contratos en el sistema SIPSE Local, de 374 contratos publicados en SECOP II  a corte de 30 de septiembre de 2024. Logrando un avance de ejecución y cumplimiento del 97,06% de la meta.</t>
  </si>
  <si>
    <t xml:space="preserve">Reporte de seguimiento consolidado
Reporte DGP
</t>
  </si>
  <si>
    <t>El FDL-RUU registro un total de 681 contratos en el sistema SIPSE Local, de los cuales 679 contratos fueron publicados en SECOP II  a corte de 31 de diciembre  de 2024. Logrando un avance de ejecución y cumplimiento del 99,71% de la meta.</t>
  </si>
  <si>
    <t>Reporte de seguimiento consolidado SECOP II
Reporte SIPSE</t>
  </si>
  <si>
    <t>Se logró alcanzar un cumplimiento de un 65,59% de la meta programada para la vigencia.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</si>
  <si>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</si>
  <si>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</si>
  <si>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</si>
  <si>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ejecución o Firmado)*100%
Nota: No se tendrán en cuenta los procesos registrados en SIPSE susceptibles a cambio de base de datos y que no se puedan registrar y una vez se cuente con la debida justificación tramitada por el FDL</t>
  </si>
  <si>
    <t>SIPSE LOCAL</t>
  </si>
  <si>
    <t>Se tienen 31 contratos en estado ejecución en SIPSE LOCAl de 46 contratos registrados en SECOP II, para un 67,39% de avance de ejecución en el trimestre.</t>
  </si>
  <si>
    <t>Reporte DGDL
Base de Datos de Contratación FDL</t>
  </si>
  <si>
    <t>A corte de 30 de septiembre de 2024, el FDL-RUU ha registrado 345  contratos en el sistema SIPSE Local en estado ejecución, de 360 de contratos registrados en SECOP en estado En ejecucion o Firmado. Logrando un avance de ejecución y cumplimiento del 95,83% de la meta.</t>
  </si>
  <si>
    <t>Reporte de seguimiento consolidado
Reporte DGP</t>
  </si>
  <si>
    <t xml:space="preserve">El FDL-RUU registro un total de 681 contratos en el sistema SIPSE Local, de los cuales 676 se encuentran en estado de ejecución en la plataforma. </t>
  </si>
  <si>
    <t>Se logró alcanzar un cumplimiento de un 65,62% de la meta programada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</si>
  <si>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</si>
  <si>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</si>
  <si>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</si>
  <si>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</si>
  <si>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</si>
  <si>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Reporte de SIPSE Local</t>
  </si>
  <si>
    <t>A corte de 30 de septiembre de 2024, el FDL- RUU ha actualizado la información de los 30 proyectos de inversión en SIPSE Local de 30 proyectos registrados en SEGPLAN. Logrando un avance de ejecución y cumplimiento del 100%  en la meta.</t>
  </si>
  <si>
    <t xml:space="preserve">El FDLRUU contó con 32 proyectos de inversión en el marco del Plan de Desarrollo Local 2021-2024.
Los 32 proyectos de inversión se encuentran debidamente registrados en el Módulo de proyectos de SIPSE LOCAL.
Así mismo, se indica que de estos 32 proyectos, 31  contaron con recursos asignados para la vigencia 2024 y fueron conciliados de acuerdo con los recursos apropiados. </t>
  </si>
  <si>
    <t>Se logró alcanzar un cumplimiento de un 43,42% de la meta programada para la vigencia.</t>
  </si>
  <si>
    <t>9</t>
  </si>
  <si>
    <t>Registrar  al 100% la información en el Módulo de proyectos de SIPSE LOCAL de proyectos de inversión del nuevo plan de desarrollo local de la vigencia 2025 - 2028</t>
  </si>
  <si>
    <t>(Número Proyectos de inversión registrados en SIPSE Local / Numero de Proyectos de inversión aprobados en SEGPLAN)*100%</t>
  </si>
  <si>
    <t>Alcaldía Local - Área de Gestión del Desarrollo, Adminsitrativa y Financiera</t>
  </si>
  <si>
    <t>Meta NO Programada para el trimestre.</t>
  </si>
  <si>
    <t>Publicación del plan de gestión aprobado. Caso HOLA: 14655</t>
  </si>
  <si>
    <t>Meta NO Programada para el tercer trimestre.</t>
  </si>
  <si>
    <t>El FDLRUU mediante el Acuerdo Local Número 004 del 29 de agosto de 2024 adoptó el PLAN DE DESARROLLO ECONÓMICO, SOCIAL, AMBIENTAL Y DE OBRAS PÚBLICAS PARA LA LOCALIDAD DE RAFAEL URIBE URIBE 2025-2028, a partir del cual cuenta con 29 proyectos de inversión.
De la mano con la Secretaria Distrital de Planeación se adelantó la elaboración de cada uno de los Documentos Técnicos de Soporte necesarios para su implementación los mismos, una muestra de los mismos fueron remitidos a la Secretaria Distrital de Gobierno mediante el radicado No. 20246820026213 del 17 de diciembre de 2024 para recibir asistencia técnica por parte de esta entidad.
De igual forma, el presupuesto 2025 fue aprobado hasta el 15 de diciembre de 2024 por tal razon con corte a 31/12/2024 se han registrado 5 proyectos en la plataforma SIPSE, buscando registrar la información con la mayor calidad posible.</t>
  </si>
  <si>
    <t>Se logró alcanzar un cumplimiento de un 17,24% de la meta programada para la vigencia.</t>
  </si>
  <si>
    <t>Inspección, Vigilancia y Control</t>
  </si>
  <si>
    <t>10</t>
  </si>
  <si>
    <r>
      <t xml:space="preserve">Realizar </t>
    </r>
    <r>
      <rPr>
        <sz val="11"/>
        <rFont val="Calibri Light"/>
        <family val="2"/>
        <scheme val="major"/>
      </rPr>
      <t>8.800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</si>
  <si>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</si>
  <si>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</si>
  <si>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</si>
  <si>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</si>
  <si>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</si>
  <si>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</si>
  <si>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</si>
  <si>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</si>
  <si>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En el primer trimestre las Inspecciones de Policia de RUU impulsaron un total de 6.610 expedientes, logrando superar el 100% de avance de ejecución de cumplimiento en el trimestre.</t>
  </si>
  <si>
    <t>Reporte DGP</t>
  </si>
  <si>
    <t>Las Inspecciones de Policia de RUU han impulado un total de 7.713 expedientes, logrando superar el 100% de avance de ejecución de cumplimiento en el trimestre.</t>
  </si>
  <si>
    <t>En el tercer trimestre de 2024, las Inspecciones de Policia de RUU han impulado un total de 5.001 expedientes, logrando superar el 100% de avance de ejecución de cumplimiento en el trimestre.</t>
  </si>
  <si>
    <t>Reporte de seguimiento de fallos de fondo de actuaciones de policía
Aplicativo ARCO</t>
  </si>
  <si>
    <t>En el cuarto trimestre de 2024, las Inspecciones de Policía de RUU han impulsado un total de 7.556 expedientes, logrando superar el 100% de avance de ejecución de cumplimiento en el trimestre, para un total anual como se indicó 29090</t>
  </si>
  <si>
    <t>Tablero del Aplicativo ARCO</t>
  </si>
  <si>
    <t>11</t>
  </si>
  <si>
    <r>
      <t xml:space="preserve">Proferir </t>
    </r>
    <r>
      <rPr>
        <sz val="11"/>
        <rFont val="Calibri Light"/>
        <family val="2"/>
        <scheme val="major"/>
      </rPr>
      <t>2.400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</si>
  <si>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</si>
  <si>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</si>
  <si>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</si>
  <si>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</si>
  <si>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Las Inspecciones de Policía de RUU profirieron un total de 1.170 fallos de fondo en primera instancia, logrando superar el 100% de avance de ejecución de cumplimiento en el trimestre.</t>
  </si>
  <si>
    <t>Las Inspecciones de Policía de RUU profirieron un total de 2.116 fallos de fondo en primera instancia, logrando superar el 100% de avance de ejecución de cumplimiento en el trimestre.</t>
  </si>
  <si>
    <t>En el tercer trimestre de 2024, las Inspecciones de Policía de RUU han proferido un total de 707 fallos de fondo en primera instancia, logrando superar el 100% de avance de ejecución de cumplimiento en el trimestre</t>
  </si>
  <si>
    <t>En el cuarto trimestre de 2024, las Inspecciones de Policía de RUU han proferido un total de 1062 fallos de fondo en primera instancia, logrando superar el 100% de avance de ejecución de cumplimiento en el trimestre, para un total anual como se indicó 5205</t>
  </si>
  <si>
    <t>12</t>
  </si>
  <si>
    <r>
      <t xml:space="preserve">Terminar (archivar) </t>
    </r>
    <r>
      <rPr>
        <sz val="11"/>
        <rFont val="Calibri Light"/>
        <family val="2"/>
        <scheme val="major"/>
      </rPr>
      <t>600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</si>
  <si>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</si>
  <si>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</si>
  <si>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</si>
  <si>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</si>
  <si>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</si>
  <si>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En el Área GPJ Local de RUU se  archivaron un total 56 actuaciones administrativas terminadas, logrando superar el 100% de avance de ejecución en el trimestre.</t>
  </si>
  <si>
    <t>En el Área GPJ Local de RUU se  archivaron un total 178 actuaciones administrativas terminadas, logrando superar el 89% de avance de ejecución en el trimestre.</t>
  </si>
  <si>
    <t>En el Área GPJ Local de RUU se  archivaron un total 50 actuaciones administrativas terminadas, alcanzando el 25% de avance de ejecución en el trimestre.</t>
  </si>
  <si>
    <t>Reporte de seguimiento de actuaciones administrativas terminadas por vía gubernativa
Aplicativo Si Actúa</t>
  </si>
  <si>
    <t xml:space="preserve">Se realizaron 312 actuaciones administrativas de Archivo en el área de Gestión Policiva y Jurídica, alcanzando un avance del 100% de la ejecución del plan de gestión </t>
  </si>
  <si>
    <t>Captura de pantalla aplicativo</t>
  </si>
  <si>
    <t>Se logró alcanzar un cumplimiento de un 99,33% de la meta programada para la vigencia.</t>
  </si>
  <si>
    <t>13</t>
  </si>
  <si>
    <t>Terminar 401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</si>
  <si>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</si>
  <si>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</si>
  <si>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</si>
  <si>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El Área GPJ Local de RUU profirió un total de 38 fallos de actuaciones administrativas terminadas hasta la primera instancia, para un avance de ejecución del 63,33% de cumplimiento en el trimestre.</t>
  </si>
  <si>
    <t>El Área GPJ Local de RUU profirió un total de 55 fallos de actuaciones administrativas terminadas hasta la primera instancia, para un avance de ejecución del 55,56% de cumplimiento en el trimestre.</t>
  </si>
  <si>
    <t>El Área GPJ Local de RUU profirió un total de 53 fallos de actuaciones administrativas terminadas hasta la primera instancia, para un avance de ejecución del 37,59% de cumplimiento en el trimestre.</t>
  </si>
  <si>
    <t xml:space="preserve">Se profirieron 236 fallos de actuaciones administrativas  en el área de Gestión Policiva y Jurídica, alcanzando un avance del 100% de la ejecución del plan de gestión </t>
  </si>
  <si>
    <t>Se logró alcanzar un cumplimiento de un 95,26% de la meta programada para la vigencia.</t>
  </si>
  <si>
    <t>14</t>
  </si>
  <si>
    <t>Realizar 192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</si>
  <si>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</si>
  <si>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</si>
  <si>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</si>
  <si>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</si>
  <si>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</si>
  <si>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17 Operativos de IVC en materia de Espacio Público, en el trimestre, para un 53,13% de ejecución respecto a lo programado para dicho periodo de tiempo.  No se cumplió con la meta debido a que para el primer trimestre no se contaba con los profesionales de apoyo ya que se acabaron los contratos y por otro lado la Policía Nacional por intermedio del Mayor Helmer Andrés Angarita Subcomandante de la Estación de Rafael Uribe Uribe que es la Entidad que presta el acompañamiento manifestó que no podían seguir apoyando las actividades de IVC de la manera que se venia presentando, dicha manifestación fue realizada en el último Consejo Local de Seguridad de la administración anterior.</t>
  </si>
  <si>
    <t>Registros de operativos Alcaldía Local  y reporte del Área GDP de la Alcaldía Local.</t>
  </si>
  <si>
    <t>Se realizaron 25 Operativos de IVC en materia de Espacio Público, en el trimestre, para un 41,67% de ejecución respecto a lo programado para dicho periodo de tiempo.</t>
  </si>
  <si>
    <t>Se realizaron 60 Operativos de IVC en materia de Espacio Público, en el trimestre, para un 100% de ejecución respecto a lo programado para dicho periodo de tiempo.</t>
  </si>
  <si>
    <t>Copia de Formatos de evidencia de reunión diligenciados de los operativos realizados en materia de integridad del espacio público.</t>
  </si>
  <si>
    <t>Se realizaron 153 Operativos de IVC en materia de Espacio Público, en el trimestre, para un 383% de ejecución respecto a lo programado para dicho periodo de tiempo. Se efectuaron operativos adicionales a los programados durante el trimestre, teniendo en cuenta que durante el I y II trimestre no se pudo dar cumplimiento a las metas propuestas</t>
  </si>
  <si>
    <t>Copia de Formatos de evidencia de reunión diligenciados de los operativos realizados en materia de integridad del espacio público y captura de pantalla del sistema de información.</t>
  </si>
  <si>
    <t>15</t>
  </si>
  <si>
    <t>Realizar 207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</si>
  <si>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</si>
  <si>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</si>
  <si>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</si>
  <si>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Se realizaron 26 Operativos de IVC en materia de Actividad Económica, en el trimestre, para un 70,27% de ejecución respecto a lo programado para dicho periodo de tiempo. No se cumplió con la meta debido a que para el primer trimestre no se contaba con los profesionales de apoyo ya que se acabaron los contratos y por otro lado la Policía Nacional por intermedio del Mayor Helmer Andrés Angarita Subcomandante de la Estación de Rafael Uribe Uribe que es la Entidad que presta el acompañamiento manifestó que no podían seguir apoyando las actividades de IVC de la manera que se venia presentando, dicha manifestación fue realizada en el Consejo Local de Seguridad  de la administración anterior. </t>
  </si>
  <si>
    <t>Se realizaron 56 Operativos de IVC en materia de Actividad Económica, en el trimestre, para un 93,33% de ejecución respecto a lo programado para dicho periodo de tiempo.</t>
  </si>
  <si>
    <t>Se realizaron 77 Operativos de IVC en materia de Actividad Económica, en el trimestre, para un 128,33% de ejecución respecto a lo programado para dicho periodo de tiempo.</t>
  </si>
  <si>
    <t>Se realizaron 91 Operativos de IVC en materia de Actividad Económica, en el trimestre, para un 182% de ejecución respecto a lo programado para dicho periodo de tiempo. La meta fue sobre ejecutada en atención a las actividades indispensables para realizar el respectivo control a las diversas situaciones que se suscitan por la época de las celebraciones de fin de año.</t>
  </si>
  <si>
    <t>Copia de Formatos de evidencia de reunión diligenciados de los operativos realizados en materia de actividad económica  y captura de pantalla del sistema de información.</t>
  </si>
  <si>
    <t>16</t>
  </si>
  <si>
    <t>Realizar 64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</si>
  <si>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</si>
  <si>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</si>
  <si>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</si>
  <si>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22 Operativos de IVC en maeria de Actividad Ambiental, en el trimestre, para un 100% de ejecución respecto a lo programado para dicho periodo de tiempo.</t>
  </si>
  <si>
    <t>Registros de operativos Alcaldía Local.</t>
  </si>
  <si>
    <t>Se realizaron 17 Operativos de IVC en maeria de Actividad Ambiental, en el trimestre, para un 80,95% de ejecución respecto a lo programado para dicho periodo de tiempo.</t>
  </si>
  <si>
    <t>Se realizaron 40 Operativos de IVC en maeria de Actividad Ambiental, en el trimestre, para un 190,47% de ejecución respecto a lo programado para dicho periodo de tiempo.</t>
  </si>
  <si>
    <t xml:space="preserve">Para el periodo correspondiente a los meses desde octubre hasta diciembre de 2024 se realizaron 37 IVC asociados al componente ambiental. </t>
  </si>
  <si>
    <t>Copia de Formatos de evidencia de reunión diligenciados de los operativos realizados en materia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</si>
  <si>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</si>
  <si>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</si>
  <si>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</si>
  <si>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</si>
  <si>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</si>
  <si>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</si>
  <si>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</si>
  <si>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</si>
  <si>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</si>
  <si>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</si>
  <si>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</si>
  <si>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</si>
  <si>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</si>
  <si>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</si>
  <si>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</si>
  <si>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</si>
  <si>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 Obtuvo una calificación del 73% inspección realizada el 21-06-24
*Indicadores agua, energía ( ponderación 20%): Reporte hasta mayo
* Reporte consumo de papel ( ponderación 10%): Reporte hasta mayo
*Reporte ciclistas ( ponderación 10%):   Sin Reporte</t>
  </si>
  <si>
    <t xml:space="preserve">Repote meta ambiental </t>
  </si>
  <si>
    <t>La calificación se otorga teniendo en cuenta los siguientes parámetros:  
*Inspección ambiental ( ponderación 60%): obtuvo en inspección ambiental del 9 de de diciembre  una calificación del 56%
*Indicadores agua, energía ( ponderación 20%): reportes de energía hasta el mes de junio  de 2024 y de agua hasta el mes de junio de 2024
* Reporte consumo de papel ( ponderación 10%):  reporte hasta el mes de junio de 2024
*Reporte ciclistas ( ponderación 10%):  No se presenta reporte</t>
  </si>
  <si>
    <t>Se logró alcanzar un cumplimiento de un 70,63% de la meta programada para la vigencia.</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</si>
  <si>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</si>
  <si>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</si>
  <si>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</si>
  <si>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</si>
  <si>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</si>
  <si>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</si>
  <si>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</si>
  <si>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</si>
  <si>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</si>
  <si>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2 acciones de mejora vencidas de las 13 acciones de mejora abiertas, lo que representa una ejecución de la meta del 84,62%. </t>
  </si>
  <si>
    <t>Reporte MIMEC</t>
  </si>
  <si>
    <t xml:space="preserve">La alcaldía local cuenta con 2 acciones de mejora vencidas de las 13 acciones de mejora abiertas, lo que representa una ejecución de la meta del 84,6%. </t>
  </si>
  <si>
    <t>Reporte MIOMEC de la OAP</t>
  </si>
  <si>
    <t>La alcaldía local cuenta con _2_ acciones de mejora vencidas de las 13__ acciones de mejora abiertas, lo que representa una ejecución de la meta del 84,62%.</t>
  </si>
  <si>
    <t>Reporte MIMEC de la OAP</t>
  </si>
  <si>
    <t>La alcaldía local cuenta con 2 acciones de mejora vencidas de las 13 acciones de mejora abiertas, lo que representa una ejecución de la meta del 84,62%.</t>
  </si>
  <si>
    <t>Se logró alcanzar un cumplimiento de un 84,62% de la meta programada para la vigencia.</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</si>
  <si>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</si>
  <si>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</si>
  <si>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</si>
  <si>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</si>
  <si>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</si>
  <si>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</si>
  <si>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</si>
  <si>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</si>
  <si>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</si>
  <si>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total de requisitos de la Resolución 1519 de 2020 de MINTIC de publicación de la información</t>
  </si>
  <si>
    <t>Reporte OAC</t>
  </si>
  <si>
    <t xml:space="preserve">Reporte de la OAC sobre actualización de la información en la página web de la alcaldía local </t>
  </si>
  <si>
    <t>Reporte radicado No Radicado No. 20241400319663</t>
  </si>
  <si>
    <t>Reporte de publicación de la información en la página web</t>
  </si>
  <si>
    <t>Memorando ORFEO 20251400005553 de 09-01-2025 de la Oficina Asesora de Comunicaciones</t>
  </si>
  <si>
    <t>MT4</t>
  </si>
  <si>
    <t>Participar del 100% de las capacitaciones que se realicen por parte de la Oficina Asesora de Planeación relacionadas con el Modelo Integrado de Planeación y Gestión</t>
  </si>
  <si>
    <t>Porcentaje de participación en capacitaciones</t>
  </si>
  <si>
    <t>(Número de capacitaciones en las que se participó la alcaldía local / Número de capacitaciones convocadas) *100</t>
  </si>
  <si>
    <t>Registro de asistencia y presentación realizada</t>
  </si>
  <si>
    <t>La alcaldía local no participó en la capacitación sobre el sistema de gestión y el modelo integrado de planeación y gestión realizada por la OAP</t>
  </si>
  <si>
    <t>Listado de asistencia</t>
  </si>
  <si>
    <t xml:space="preserve">No programada </t>
  </si>
  <si>
    <t>Capacitacion del 16 de septiembre de 2024</t>
  </si>
  <si>
    <t>Se logró alcanzar un cumplimiento de un 50,00% de la meta programada para la vigencia.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</si>
  <si>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</si>
  <si>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</si>
  <si>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</si>
  <si>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</si>
  <si>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</si>
  <si>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alcaldia realizo la actividad programada </t>
  </si>
  <si>
    <t xml:space="preserve">Listado de asistencia y PPT </t>
  </si>
  <si>
    <t>Se realizó la actividad en el mes de noviembre de acuerdo a la evidencia aportada</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</si>
  <si>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</si>
  <si>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</si>
  <si>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</si>
  <si>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</si>
  <si>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</si>
  <si>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</si>
  <si>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</si>
  <si>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</si>
  <si>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</si>
  <si>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</si>
  <si>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</si>
  <si>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</si>
  <si>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</si>
  <si>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</si>
  <si>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</si>
  <si>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</si>
  <si>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</si>
  <si>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</si>
  <si>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</si>
  <si>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</si>
  <si>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</si>
  <si>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58 requerimientos registrados y tipificados como Derechos de Petición en el aplicativo Bogotá te Escucha y gestor documental ORFEO durante la vigencia 2024.</t>
  </si>
  <si>
    <t>la alcaldia dio respuesta a ciento veinticino (125 ) requerimientos de los ciento cincuenta instaurados en la
vigencia 2024 que
deben tener respuesta</t>
  </si>
  <si>
    <t>Según radicado No . 20244600214423 de la Oficina de atencion a la ciudadania</t>
  </si>
  <si>
    <t>la Alcaldia local dio respuesta a 107 requerimientos de los 135 instaurados en este periodo</t>
  </si>
  <si>
    <t>Radicado No. 20244600316223</t>
  </si>
  <si>
    <t>La Alcaldía Local dio respuesta 93 de los 120 requerimientos instaurados</t>
  </si>
  <si>
    <t>Memorando ORFEO 20254600001173</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</si>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</sst>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b/>
      <u/>
      <sz val="11"/>
      <color theme="1"/>
      <name val="Calibri Light"/>
      <family val="2"/>
      <scheme val="major"/>
    </font>
    <font>
      <sz val="11"/>
      <color rgb="FF000000"/>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vertical="center" wrapText="1"/>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3" xfId="0" applyFont="1" applyBorder="1" applyAlignment="1">
      <alignment horizontal="lef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9" fontId="5" fillId="0" borderId="1" xfId="1" applyFont="1" applyBorder="1" applyAlignment="1">
      <alignment horizontal="center" vertical="center" wrapText="1"/>
    </xf>
    <xf numFmtId="1"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15" fillId="0" borderId="11" xfId="0" applyNumberFormat="1" applyFont="1" applyBorder="1" applyAlignment="1">
      <alignment horizontal="center" vertical="center" wrapText="1"/>
    </xf>
    <xf numFmtId="9" fontId="15" fillId="0" borderId="11" xfId="0" applyNumberFormat="1" applyFont="1" applyBorder="1" applyAlignment="1">
      <alignment horizontal="center" vertical="center" wrapText="1"/>
    </xf>
    <xf numFmtId="10" fontId="9" fillId="2" borderId="1" xfId="1" applyNumberFormat="1" applyFont="1" applyFill="1" applyBorder="1" applyAlignment="1">
      <alignment horizontal="center" wrapText="1"/>
    </xf>
    <xf numFmtId="10"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1" xfId="1" applyNumberFormat="1" applyFont="1" applyBorder="1" applyAlignment="1">
      <alignment horizontal="justify" vertical="center" wrapText="1"/>
    </xf>
    <xf numFmtId="164" fontId="1" fillId="0" borderId="1" xfId="0" applyNumberFormat="1" applyFont="1" applyBorder="1" applyAlignment="1">
      <alignment horizontal="center" vertical="center" wrapText="1"/>
    </xf>
    <xf numFmtId="164" fontId="15" fillId="0" borderId="11" xfId="0" applyNumberFormat="1" applyFont="1" applyBorder="1" applyAlignment="1">
      <alignment horizontal="center" vertical="center" wrapText="1"/>
    </xf>
    <xf numFmtId="164" fontId="7" fillId="3" borderId="1" xfId="1" applyNumberFormat="1" applyFont="1" applyFill="1" applyBorder="1" applyAlignment="1">
      <alignment horizontal="center" wrapText="1"/>
    </xf>
    <xf numFmtId="165" fontId="5" fillId="0" borderId="1" xfId="1" applyNumberFormat="1" applyFont="1" applyBorder="1" applyAlignment="1">
      <alignment horizontal="justify" vertical="center" wrapText="1"/>
    </xf>
    <xf numFmtId="0" fontId="16" fillId="10" borderId="1" xfId="0" applyFont="1" applyFill="1" applyBorder="1" applyAlignment="1">
      <alignment wrapText="1"/>
    </xf>
    <xf numFmtId="0" fontId="16" fillId="10" borderId="3" xfId="0" applyFont="1" applyFill="1" applyBorder="1" applyAlignment="1">
      <alignment wrapText="1"/>
    </xf>
    <xf numFmtId="0" fontId="16" fillId="0" borderId="3" xfId="0" applyFont="1" applyBorder="1" applyAlignment="1">
      <alignment horizontal="left" vertical="center" wrapText="1"/>
    </xf>
    <xf numFmtId="164" fontId="1" fillId="0" borderId="1" xfId="0" applyNumberFormat="1" applyFont="1" applyBorder="1" applyAlignment="1">
      <alignment horizontal="justify" vertical="center" wrapText="1"/>
    </xf>
    <xf numFmtId="0" fontId="16" fillId="10" borderId="10" xfId="0" applyFont="1" applyFill="1" applyBorder="1" applyAlignment="1">
      <alignment wrapText="1"/>
    </xf>
    <xf numFmtId="0" fontId="16" fillId="10" borderId="11" xfId="0" applyFont="1" applyFill="1" applyBorder="1" applyAlignment="1">
      <alignment vertical="center" wrapText="1"/>
    </xf>
    <xf numFmtId="0" fontId="16" fillId="10" borderId="10" xfId="0" applyFont="1" applyFill="1" applyBorder="1" applyAlignment="1">
      <alignment vertical="center" wrapText="1"/>
    </xf>
    <xf numFmtId="10" fontId="1" fillId="0" borderId="1" xfId="1" applyNumberFormat="1" applyFont="1" applyFill="1" applyBorder="1" applyAlignment="1">
      <alignment horizontal="justify" vertical="center" wrapText="1"/>
    </xf>
    <xf numFmtId="0" fontId="18" fillId="0" borderId="1" xfId="0" applyFont="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0" borderId="1" xfId="0"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1"/>
  <sheetViews>
    <sheetView tabSelected="1" topLeftCell="E10" zoomScale="90" zoomScaleNormal="90" workbookViewId="0">
      <selection activeCell="M11" sqref="M11"/>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3" width="16.5703125" style="73" customWidth="1"/>
    <col min="44" max="44" width="21.5703125" style="73" customWidth="1"/>
    <col min="45" max="45" width="39.42578125" style="1" customWidth="1"/>
    <col min="46" max="16384" width="10.85546875" style="1"/>
  </cols>
  <sheetData>
    <row r="1" spans="1:45" s="33" customFormat="1" ht="70.5" customHeight="1">
      <c r="A1" s="133" t="s">
        <v>0</v>
      </c>
      <c r="B1" s="134"/>
      <c r="C1" s="134"/>
      <c r="D1" s="134"/>
      <c r="E1" s="134"/>
      <c r="F1" s="134"/>
      <c r="G1" s="134"/>
      <c r="H1" s="134"/>
      <c r="I1" s="134"/>
      <c r="J1" s="134"/>
      <c r="K1" s="134"/>
      <c r="L1" s="135" t="s">
        <v>1</v>
      </c>
      <c r="M1" s="135"/>
      <c r="N1" s="135"/>
      <c r="O1" s="135"/>
      <c r="P1" s="135"/>
      <c r="AP1" s="66"/>
      <c r="AQ1" s="66"/>
      <c r="AR1" s="66"/>
    </row>
    <row r="2" spans="1:45" s="35" customFormat="1" ht="23.45" customHeight="1">
      <c r="A2" s="137" t="s">
        <v>2</v>
      </c>
      <c r="B2" s="138"/>
      <c r="C2" s="138"/>
      <c r="D2" s="138"/>
      <c r="E2" s="138"/>
      <c r="F2" s="138"/>
      <c r="G2" s="138"/>
      <c r="H2" s="138"/>
      <c r="I2" s="138"/>
      <c r="J2" s="138"/>
      <c r="K2" s="138"/>
      <c r="L2" s="34"/>
      <c r="M2" s="34"/>
      <c r="N2" s="34"/>
      <c r="O2" s="34"/>
      <c r="P2" s="34"/>
      <c r="AP2" s="67"/>
      <c r="AQ2" s="67"/>
      <c r="AR2" s="67"/>
    </row>
    <row r="3" spans="1:45" s="33" customFormat="1">
      <c r="AP3" s="66"/>
      <c r="AQ3" s="66"/>
      <c r="AR3" s="66"/>
    </row>
    <row r="4" spans="1:45" s="33" customFormat="1" ht="29.1" customHeight="1">
      <c r="F4" s="140" t="s">
        <v>3</v>
      </c>
      <c r="G4" s="141"/>
      <c r="H4" s="141"/>
      <c r="I4" s="141"/>
      <c r="J4" s="141"/>
      <c r="K4" s="142"/>
      <c r="AP4" s="66"/>
      <c r="AQ4" s="66"/>
      <c r="AR4" s="66"/>
    </row>
    <row r="5" spans="1:45" s="33" customFormat="1" ht="15" customHeight="1">
      <c r="F5" s="2" t="s">
        <v>4</v>
      </c>
      <c r="G5" s="2" t="s">
        <v>5</v>
      </c>
      <c r="H5" s="140" t="s">
        <v>6</v>
      </c>
      <c r="I5" s="141"/>
      <c r="J5" s="141"/>
      <c r="K5" s="142"/>
      <c r="AP5" s="66"/>
      <c r="AQ5" s="66"/>
      <c r="AR5" s="66"/>
    </row>
    <row r="6" spans="1:45" s="33" customFormat="1">
      <c r="F6" s="32">
        <v>1</v>
      </c>
      <c r="G6" s="32" t="s">
        <v>7</v>
      </c>
      <c r="H6" s="143" t="s">
        <v>8</v>
      </c>
      <c r="I6" s="143"/>
      <c r="J6" s="143"/>
      <c r="K6" s="143"/>
      <c r="AP6" s="66"/>
      <c r="AQ6" s="66"/>
      <c r="AR6" s="66"/>
    </row>
    <row r="7" spans="1:45" s="33" customFormat="1" ht="57.75" customHeight="1">
      <c r="F7" s="32">
        <v>2</v>
      </c>
      <c r="G7" s="32" t="s">
        <v>9</v>
      </c>
      <c r="H7" s="143" t="s">
        <v>10</v>
      </c>
      <c r="I7" s="143"/>
      <c r="J7" s="143"/>
      <c r="K7" s="143"/>
      <c r="AP7" s="66"/>
      <c r="AQ7" s="66"/>
      <c r="AR7" s="66"/>
    </row>
    <row r="8" spans="1:45" s="33" customFormat="1" ht="42" customHeight="1">
      <c r="F8" s="32">
        <v>3</v>
      </c>
      <c r="G8" s="32" t="s">
        <v>11</v>
      </c>
      <c r="H8" s="143" t="s">
        <v>12</v>
      </c>
      <c r="I8" s="143"/>
      <c r="J8" s="143"/>
      <c r="K8" s="143"/>
      <c r="AP8" s="66"/>
      <c r="AQ8" s="66"/>
      <c r="AR8" s="66"/>
    </row>
    <row r="9" spans="1:45" s="33" customFormat="1" ht="42" customHeight="1">
      <c r="F9" s="32">
        <v>4</v>
      </c>
      <c r="G9" s="32" t="s">
        <v>13</v>
      </c>
      <c r="H9" s="144" t="s">
        <v>14</v>
      </c>
      <c r="I9" s="144"/>
      <c r="J9" s="144"/>
      <c r="K9" s="144"/>
      <c r="AP9" s="66"/>
      <c r="AQ9" s="66"/>
      <c r="AR9" s="66"/>
    </row>
    <row r="10" spans="1:45" s="33" customFormat="1" ht="42" customHeight="1">
      <c r="F10" s="32">
        <v>5</v>
      </c>
      <c r="G10" s="32" t="s">
        <v>15</v>
      </c>
      <c r="H10" s="139" t="s">
        <v>16</v>
      </c>
      <c r="I10" s="139"/>
      <c r="J10" s="139"/>
      <c r="K10" s="139"/>
      <c r="AP10" s="66"/>
      <c r="AQ10" s="66"/>
      <c r="AR10" s="66"/>
    </row>
    <row r="11" spans="1:45" s="33" customFormat="1" ht="65.25" customHeight="1">
      <c r="F11" s="32">
        <v>6</v>
      </c>
      <c r="G11" s="32" t="s">
        <v>15</v>
      </c>
      <c r="H11" s="139" t="s">
        <v>17</v>
      </c>
      <c r="I11" s="139"/>
      <c r="J11" s="139"/>
      <c r="K11" s="139"/>
      <c r="AP11" s="66"/>
      <c r="AQ11" s="66"/>
      <c r="AR11" s="66"/>
    </row>
    <row r="12" spans="1:45" s="33" customFormat="1">
      <c r="AP12" s="66"/>
      <c r="AQ12" s="66"/>
      <c r="AR12" s="66"/>
    </row>
    <row r="13" spans="1:45" ht="14.45" customHeight="1">
      <c r="A13" s="132" t="s">
        <v>18</v>
      </c>
      <c r="B13" s="132"/>
      <c r="C13" s="132" t="s">
        <v>19</v>
      </c>
      <c r="D13" s="132" t="s">
        <v>20</v>
      </c>
      <c r="E13" s="132"/>
      <c r="F13" s="132"/>
      <c r="G13" s="136" t="s">
        <v>21</v>
      </c>
      <c r="H13" s="136"/>
      <c r="I13" s="136"/>
      <c r="J13" s="136"/>
      <c r="K13" s="136"/>
      <c r="L13" s="136"/>
      <c r="M13" s="136"/>
      <c r="N13" s="136"/>
      <c r="O13" s="136"/>
      <c r="P13" s="136"/>
      <c r="Q13" s="136"/>
      <c r="R13" s="132" t="s">
        <v>22</v>
      </c>
      <c r="S13" s="132"/>
      <c r="T13" s="132"/>
      <c r="U13" s="132"/>
      <c r="V13" s="102" t="s">
        <v>23</v>
      </c>
      <c r="W13" s="103"/>
      <c r="X13" s="103"/>
      <c r="Y13" s="103"/>
      <c r="Z13" s="104"/>
      <c r="AA13" s="108" t="s">
        <v>24</v>
      </c>
      <c r="AB13" s="109"/>
      <c r="AC13" s="109"/>
      <c r="AD13" s="109"/>
      <c r="AE13" s="110"/>
      <c r="AF13" s="114" t="s">
        <v>25</v>
      </c>
      <c r="AG13" s="115"/>
      <c r="AH13" s="115"/>
      <c r="AI13" s="115"/>
      <c r="AJ13" s="116"/>
      <c r="AK13" s="120" t="s">
        <v>26</v>
      </c>
      <c r="AL13" s="121"/>
      <c r="AM13" s="121"/>
      <c r="AN13" s="121"/>
      <c r="AO13" s="122"/>
      <c r="AP13" s="126" t="s">
        <v>27</v>
      </c>
      <c r="AQ13" s="127"/>
      <c r="AR13" s="127"/>
      <c r="AS13" s="128"/>
    </row>
    <row r="14" spans="1:45" ht="14.45" customHeight="1">
      <c r="A14" s="132"/>
      <c r="B14" s="132"/>
      <c r="C14" s="132"/>
      <c r="D14" s="132"/>
      <c r="E14" s="132"/>
      <c r="F14" s="132"/>
      <c r="G14" s="136"/>
      <c r="H14" s="136"/>
      <c r="I14" s="136"/>
      <c r="J14" s="136"/>
      <c r="K14" s="136"/>
      <c r="L14" s="136"/>
      <c r="M14" s="136"/>
      <c r="N14" s="136"/>
      <c r="O14" s="136"/>
      <c r="P14" s="136"/>
      <c r="Q14" s="136"/>
      <c r="R14" s="132"/>
      <c r="S14" s="132"/>
      <c r="T14" s="132"/>
      <c r="U14" s="132"/>
      <c r="V14" s="105"/>
      <c r="W14" s="106"/>
      <c r="X14" s="106"/>
      <c r="Y14" s="106"/>
      <c r="Z14" s="107"/>
      <c r="AA14" s="111"/>
      <c r="AB14" s="112"/>
      <c r="AC14" s="112"/>
      <c r="AD14" s="112"/>
      <c r="AE14" s="113"/>
      <c r="AF14" s="117"/>
      <c r="AG14" s="118"/>
      <c r="AH14" s="118"/>
      <c r="AI14" s="118"/>
      <c r="AJ14" s="119"/>
      <c r="AK14" s="123"/>
      <c r="AL14" s="124"/>
      <c r="AM14" s="124"/>
      <c r="AN14" s="124"/>
      <c r="AO14" s="125"/>
      <c r="AP14" s="129"/>
      <c r="AQ14" s="130"/>
      <c r="AR14" s="130"/>
      <c r="AS14" s="131"/>
    </row>
    <row r="15" spans="1:45" ht="45">
      <c r="A15" s="2" t="s">
        <v>28</v>
      </c>
      <c r="B15" s="2" t="s">
        <v>29</v>
      </c>
      <c r="C15" s="132"/>
      <c r="D15" s="2" t="s">
        <v>30</v>
      </c>
      <c r="E15" s="2" t="s">
        <v>31</v>
      </c>
      <c r="F15" s="2" t="s">
        <v>32</v>
      </c>
      <c r="G15" s="15" t="s">
        <v>33</v>
      </c>
      <c r="H15" s="15" t="s">
        <v>34</v>
      </c>
      <c r="I15" s="15" t="s">
        <v>35</v>
      </c>
      <c r="J15" s="15" t="s">
        <v>36</v>
      </c>
      <c r="K15" s="15" t="s">
        <v>37</v>
      </c>
      <c r="L15" s="15" t="s">
        <v>38</v>
      </c>
      <c r="M15" s="15" t="s">
        <v>39</v>
      </c>
      <c r="N15" s="15" t="s">
        <v>40</v>
      </c>
      <c r="O15" s="15" t="s">
        <v>41</v>
      </c>
      <c r="P15" s="15" t="s">
        <v>42</v>
      </c>
      <c r="Q15" s="15" t="s">
        <v>43</v>
      </c>
      <c r="R15" s="2" t="s">
        <v>44</v>
      </c>
      <c r="S15" s="2" t="s">
        <v>45</v>
      </c>
      <c r="T15" s="2" t="s">
        <v>46</v>
      </c>
      <c r="U15" s="2" t="s">
        <v>47</v>
      </c>
      <c r="V15" s="3" t="s">
        <v>48</v>
      </c>
      <c r="W15" s="3" t="s">
        <v>49</v>
      </c>
      <c r="X15" s="3" t="s">
        <v>50</v>
      </c>
      <c r="Y15" s="3" t="s">
        <v>51</v>
      </c>
      <c r="Z15" s="3" t="s">
        <v>52</v>
      </c>
      <c r="AA15" s="18" t="s">
        <v>48</v>
      </c>
      <c r="AB15" s="18" t="s">
        <v>49</v>
      </c>
      <c r="AC15" s="18" t="s">
        <v>50</v>
      </c>
      <c r="AD15" s="18" t="s">
        <v>51</v>
      </c>
      <c r="AE15" s="18" t="s">
        <v>52</v>
      </c>
      <c r="AF15" s="19" t="s">
        <v>48</v>
      </c>
      <c r="AG15" s="19" t="s">
        <v>49</v>
      </c>
      <c r="AH15" s="19" t="s">
        <v>50</v>
      </c>
      <c r="AI15" s="19" t="s">
        <v>51</v>
      </c>
      <c r="AJ15" s="19" t="s">
        <v>52</v>
      </c>
      <c r="AK15" s="20" t="s">
        <v>48</v>
      </c>
      <c r="AL15" s="20" t="s">
        <v>49</v>
      </c>
      <c r="AM15" s="20" t="s">
        <v>50</v>
      </c>
      <c r="AN15" s="20" t="s">
        <v>51</v>
      </c>
      <c r="AO15" s="20" t="s">
        <v>52</v>
      </c>
      <c r="AP15" s="4" t="s">
        <v>48</v>
      </c>
      <c r="AQ15" s="4" t="s">
        <v>49</v>
      </c>
      <c r="AR15" s="4" t="s">
        <v>50</v>
      </c>
      <c r="AS15" s="4" t="s">
        <v>51</v>
      </c>
    </row>
    <row r="16" spans="1:45" s="25" customFormat="1" ht="99.75">
      <c r="A16" s="17">
        <v>4</v>
      </c>
      <c r="B16" s="16" t="s">
        <v>53</v>
      </c>
      <c r="C16" s="16" t="s">
        <v>54</v>
      </c>
      <c r="D16" s="21" t="s">
        <v>55</v>
      </c>
      <c r="E16" s="16" t="s">
        <v>56</v>
      </c>
      <c r="F16" s="16" t="s">
        <v>57</v>
      </c>
      <c r="G16" s="16" t="s">
        <v>58</v>
      </c>
      <c r="H16" s="16" t="s">
        <v>59</v>
      </c>
      <c r="I16" s="27" t="s">
        <v>60</v>
      </c>
      <c r="J16" s="16" t="s">
        <v>61</v>
      </c>
      <c r="K16" s="16" t="s">
        <v>62</v>
      </c>
      <c r="L16" s="28">
        <v>0</v>
      </c>
      <c r="M16" s="28">
        <v>0</v>
      </c>
      <c r="N16" s="28">
        <v>0</v>
      </c>
      <c r="O16" s="28">
        <v>0.75</v>
      </c>
      <c r="P16" s="28">
        <v>0.75</v>
      </c>
      <c r="Q16" s="16" t="s">
        <v>63</v>
      </c>
      <c r="R16" s="16" t="s">
        <v>64</v>
      </c>
      <c r="S16" s="16" t="s">
        <v>65</v>
      </c>
      <c r="T16" s="16" t="s">
        <v>66</v>
      </c>
      <c r="U16" s="16" t="s">
        <v>67</v>
      </c>
      <c r="V16" s="61" t="s">
        <v>68</v>
      </c>
      <c r="W16" s="61" t="s">
        <v>68</v>
      </c>
      <c r="X16" s="61" t="s">
        <v>68</v>
      </c>
      <c r="Y16" s="16" t="s">
        <v>69</v>
      </c>
      <c r="Z16" s="61" t="s">
        <v>68</v>
      </c>
      <c r="AA16" s="29">
        <f t="shared" ref="AA16:AA31" si="0">M16</f>
        <v>0</v>
      </c>
      <c r="AB16" s="16" t="s">
        <v>70</v>
      </c>
      <c r="AC16" s="80" t="s">
        <v>70</v>
      </c>
      <c r="AD16" s="16" t="s">
        <v>70</v>
      </c>
      <c r="AE16" s="16" t="s">
        <v>70</v>
      </c>
      <c r="AF16" s="29">
        <f t="shared" ref="AF16:AF31" si="1">N16</f>
        <v>0</v>
      </c>
      <c r="AG16" s="88">
        <v>0</v>
      </c>
      <c r="AH16" s="80" t="s">
        <v>70</v>
      </c>
      <c r="AI16" s="16" t="s">
        <v>71</v>
      </c>
      <c r="AJ16" s="16"/>
      <c r="AK16" s="29">
        <f t="shared" ref="AK16:AK31" si="2">O16</f>
        <v>0.75</v>
      </c>
      <c r="AL16" s="96">
        <v>0.32500000000000001</v>
      </c>
      <c r="AM16" s="100">
        <f>IF(AL16/AK16&gt;100%,100%,AL16/AK16)</f>
        <v>0.43333333333333335</v>
      </c>
      <c r="AN16" s="16" t="s">
        <v>72</v>
      </c>
      <c r="AO16" s="16" t="s">
        <v>73</v>
      </c>
      <c r="AP16" s="61">
        <f t="shared" ref="AP16:AP31" si="3">P16</f>
        <v>0.75</v>
      </c>
      <c r="AQ16" s="89">
        <f>MAX(W16,AB16,AG16,AL16)</f>
        <v>0.32500000000000001</v>
      </c>
      <c r="AR16" s="74">
        <f>IF(AQ16/AP16&gt;100%,100%,AQ16/AP16)</f>
        <v>0.43333333333333335</v>
      </c>
      <c r="AS16" s="95" t="s">
        <v>74</v>
      </c>
    </row>
    <row r="17" spans="1:45" s="25" customFormat="1" ht="150">
      <c r="A17" s="17">
        <v>4</v>
      </c>
      <c r="B17" s="16" t="s">
        <v>53</v>
      </c>
      <c r="C17" s="16" t="s">
        <v>75</v>
      </c>
      <c r="D17" s="21" t="s">
        <v>76</v>
      </c>
      <c r="E17" s="16" t="s">
        <v>77</v>
      </c>
      <c r="F17" s="16" t="s">
        <v>57</v>
      </c>
      <c r="G17" s="16" t="s">
        <v>78</v>
      </c>
      <c r="H17" s="16" t="s">
        <v>79</v>
      </c>
      <c r="I17" s="16" t="s">
        <v>60</v>
      </c>
      <c r="J17" s="16" t="s">
        <v>61</v>
      </c>
      <c r="K17" s="16" t="s">
        <v>62</v>
      </c>
      <c r="L17" s="28">
        <v>0.14000000000000001</v>
      </c>
      <c r="M17" s="28">
        <v>0.27</v>
      </c>
      <c r="N17" s="28">
        <v>0.45</v>
      </c>
      <c r="O17" s="28">
        <v>0.65</v>
      </c>
      <c r="P17" s="28">
        <v>0.65</v>
      </c>
      <c r="Q17" s="16" t="s">
        <v>80</v>
      </c>
      <c r="R17" s="16" t="s">
        <v>81</v>
      </c>
      <c r="S17" s="16" t="s">
        <v>82</v>
      </c>
      <c r="T17" s="16" t="s">
        <v>66</v>
      </c>
      <c r="U17" s="16" t="s">
        <v>67</v>
      </c>
      <c r="V17" s="61">
        <f t="shared" ref="V17:V31" si="4">L17</f>
        <v>0.14000000000000001</v>
      </c>
      <c r="W17" s="74">
        <f>4911320900/53191965014</f>
        <v>9.2332007262889274E-2</v>
      </c>
      <c r="X17" s="74">
        <f t="shared" ref="X17:X31" si="5">IF(W17/V17&gt;100%,100%,W17/V17)</f>
        <v>0.65951433759206612</v>
      </c>
      <c r="Y17" s="16" t="s">
        <v>83</v>
      </c>
      <c r="Z17" s="60" t="s">
        <v>84</v>
      </c>
      <c r="AA17" s="29">
        <f t="shared" si="0"/>
        <v>0.27</v>
      </c>
      <c r="AB17" s="27">
        <v>0.1961</v>
      </c>
      <c r="AC17" s="80">
        <f t="shared" ref="AC17:AC31" si="6">IF(AB17/AA17&gt;100%,100%,AB17/AA17)</f>
        <v>0.72629629629629622</v>
      </c>
      <c r="AD17" s="16" t="s">
        <v>85</v>
      </c>
      <c r="AE17" s="16" t="s">
        <v>86</v>
      </c>
      <c r="AF17" s="29">
        <f t="shared" si="1"/>
        <v>0.45</v>
      </c>
      <c r="AG17" s="88">
        <v>0.44569999999999999</v>
      </c>
      <c r="AH17" s="80">
        <f t="shared" ref="AH17:AH31" si="7">IF(AG17/AF17&gt;100%,100%,AG17/AF17)</f>
        <v>0.99044444444444435</v>
      </c>
      <c r="AI17" s="16" t="s">
        <v>87</v>
      </c>
      <c r="AJ17" s="16" t="s">
        <v>88</v>
      </c>
      <c r="AK17" s="29">
        <f t="shared" si="2"/>
        <v>0.65</v>
      </c>
      <c r="AL17" s="96">
        <v>0.66180000000000005</v>
      </c>
      <c r="AM17" s="80">
        <f t="shared" ref="AM17:AM31" si="8">IF(AL17/AK17&gt;100%,100%,AL17/AK17)</f>
        <v>1</v>
      </c>
      <c r="AN17" s="93" t="s">
        <v>89</v>
      </c>
      <c r="AO17" s="94" t="s">
        <v>90</v>
      </c>
      <c r="AP17" s="61">
        <f t="shared" si="3"/>
        <v>0.65</v>
      </c>
      <c r="AQ17" s="89">
        <f>MAX(W17,AB17,AG17,AL17)</f>
        <v>0.66180000000000005</v>
      </c>
      <c r="AR17" s="74">
        <f t="shared" ref="AR17:AR31" si="9">IF(AQ17/AP17&gt;100%,100%,AQ17/AP17)</f>
        <v>1</v>
      </c>
      <c r="AS17" s="95" t="s">
        <v>91</v>
      </c>
    </row>
    <row r="18" spans="1:45" s="25" customFormat="1" ht="166.5">
      <c r="A18" s="17">
        <v>4</v>
      </c>
      <c r="B18" s="16" t="s">
        <v>53</v>
      </c>
      <c r="C18" s="16" t="s">
        <v>75</v>
      </c>
      <c r="D18" s="21" t="s">
        <v>92</v>
      </c>
      <c r="E18" s="16" t="s">
        <v>93</v>
      </c>
      <c r="F18" s="16" t="s">
        <v>57</v>
      </c>
      <c r="G18" s="16" t="s">
        <v>94</v>
      </c>
      <c r="H18" s="16" t="s">
        <v>95</v>
      </c>
      <c r="I18" s="16" t="s">
        <v>60</v>
      </c>
      <c r="J18" s="16" t="s">
        <v>61</v>
      </c>
      <c r="K18" s="16" t="s">
        <v>62</v>
      </c>
      <c r="L18" s="28">
        <v>0.12</v>
      </c>
      <c r="M18" s="28">
        <v>0.25</v>
      </c>
      <c r="N18" s="28">
        <v>0.43</v>
      </c>
      <c r="O18" s="28">
        <v>0.63</v>
      </c>
      <c r="P18" s="28">
        <v>0.63</v>
      </c>
      <c r="Q18" s="16" t="s">
        <v>80</v>
      </c>
      <c r="R18" s="16" t="s">
        <v>81</v>
      </c>
      <c r="S18" s="16" t="s">
        <v>82</v>
      </c>
      <c r="T18" s="16" t="s">
        <v>66</v>
      </c>
      <c r="U18" s="16" t="s">
        <v>67</v>
      </c>
      <c r="V18" s="61">
        <f t="shared" si="4"/>
        <v>0.12</v>
      </c>
      <c r="W18" s="75">
        <f>674330188/12039856262</f>
        <v>5.6008159343920914E-2</v>
      </c>
      <c r="X18" s="74">
        <f t="shared" si="5"/>
        <v>0.46673466119934098</v>
      </c>
      <c r="Y18" s="16" t="s">
        <v>96</v>
      </c>
      <c r="Z18" s="60" t="s">
        <v>84</v>
      </c>
      <c r="AA18" s="29">
        <f t="shared" si="0"/>
        <v>0.25</v>
      </c>
      <c r="AB18" s="27">
        <v>6.3399999999999998E-2</v>
      </c>
      <c r="AC18" s="80">
        <f t="shared" si="6"/>
        <v>0.25359999999999999</v>
      </c>
      <c r="AD18" s="16" t="s">
        <v>97</v>
      </c>
      <c r="AE18" s="16" t="s">
        <v>86</v>
      </c>
      <c r="AF18" s="29">
        <f t="shared" si="1"/>
        <v>0.43</v>
      </c>
      <c r="AG18" s="88">
        <v>0.21210000000000001</v>
      </c>
      <c r="AH18" s="80">
        <f t="shared" si="7"/>
        <v>0.49325581395348839</v>
      </c>
      <c r="AI18" s="16" t="s">
        <v>98</v>
      </c>
      <c r="AJ18" s="16" t="s">
        <v>88</v>
      </c>
      <c r="AK18" s="29">
        <f t="shared" si="2"/>
        <v>0.63</v>
      </c>
      <c r="AL18" s="96">
        <v>0.26590000000000003</v>
      </c>
      <c r="AM18" s="80">
        <f t="shared" si="8"/>
        <v>0.42206349206349209</v>
      </c>
      <c r="AN18" s="98" t="s">
        <v>99</v>
      </c>
      <c r="AO18" s="97" t="s">
        <v>90</v>
      </c>
      <c r="AP18" s="61">
        <f t="shared" si="3"/>
        <v>0.63</v>
      </c>
      <c r="AQ18" s="89">
        <f>MAX(W18,AB18,AG18,AL18)</f>
        <v>0.26590000000000003</v>
      </c>
      <c r="AR18" s="74">
        <f t="shared" si="9"/>
        <v>0.42206349206349209</v>
      </c>
      <c r="AS18" s="95" t="s">
        <v>100</v>
      </c>
    </row>
    <row r="19" spans="1:45" s="25" customFormat="1" ht="150">
      <c r="A19" s="17">
        <v>4</v>
      </c>
      <c r="B19" s="16" t="s">
        <v>53</v>
      </c>
      <c r="C19" s="16" t="s">
        <v>75</v>
      </c>
      <c r="D19" s="21" t="s">
        <v>101</v>
      </c>
      <c r="E19" s="16" t="s">
        <v>102</v>
      </c>
      <c r="F19" s="16" t="s">
        <v>57</v>
      </c>
      <c r="G19" s="16" t="s">
        <v>103</v>
      </c>
      <c r="H19" s="16" t="s">
        <v>104</v>
      </c>
      <c r="I19" s="28" t="s">
        <v>60</v>
      </c>
      <c r="J19" s="16" t="s">
        <v>61</v>
      </c>
      <c r="K19" s="16" t="s">
        <v>62</v>
      </c>
      <c r="L19" s="28">
        <v>0.2</v>
      </c>
      <c r="M19" s="28">
        <v>0.3</v>
      </c>
      <c r="N19" s="29">
        <v>0.6</v>
      </c>
      <c r="O19" s="29">
        <v>0.96</v>
      </c>
      <c r="P19" s="28">
        <v>0.96</v>
      </c>
      <c r="Q19" s="16" t="s">
        <v>80</v>
      </c>
      <c r="R19" s="16" t="s">
        <v>81</v>
      </c>
      <c r="S19" s="16" t="s">
        <v>82</v>
      </c>
      <c r="T19" s="16" t="s">
        <v>66</v>
      </c>
      <c r="U19" s="16" t="s">
        <v>67</v>
      </c>
      <c r="V19" s="61">
        <f t="shared" si="4"/>
        <v>0.2</v>
      </c>
      <c r="W19" s="74">
        <f>6580932808/107359187000</f>
        <v>6.12982735049959E-2</v>
      </c>
      <c r="X19" s="74">
        <f t="shared" si="5"/>
        <v>0.30649136752497946</v>
      </c>
      <c r="Y19" s="16" t="s">
        <v>105</v>
      </c>
      <c r="Z19" s="60" t="s">
        <v>84</v>
      </c>
      <c r="AA19" s="29">
        <f t="shared" si="0"/>
        <v>0.3</v>
      </c>
      <c r="AB19" s="27">
        <v>9.4799999999999995E-2</v>
      </c>
      <c r="AC19" s="80">
        <f t="shared" si="6"/>
        <v>0.316</v>
      </c>
      <c r="AD19" s="16" t="s">
        <v>106</v>
      </c>
      <c r="AE19" s="16" t="s">
        <v>86</v>
      </c>
      <c r="AF19" s="29">
        <f t="shared" si="1"/>
        <v>0.6</v>
      </c>
      <c r="AG19" s="88">
        <v>0.26150000000000001</v>
      </c>
      <c r="AH19" s="80">
        <f t="shared" si="7"/>
        <v>0.43583333333333335</v>
      </c>
      <c r="AI19" s="16" t="s">
        <v>107</v>
      </c>
      <c r="AJ19" s="16" t="s">
        <v>88</v>
      </c>
      <c r="AK19" s="29">
        <f t="shared" si="2"/>
        <v>0.96</v>
      </c>
      <c r="AL19" s="96">
        <v>0.92149999999999999</v>
      </c>
      <c r="AM19" s="80">
        <f t="shared" si="8"/>
        <v>0.95989583333333339</v>
      </c>
      <c r="AN19" s="98" t="s">
        <v>108</v>
      </c>
      <c r="AO19" s="97" t="s">
        <v>109</v>
      </c>
      <c r="AP19" s="61">
        <f t="shared" si="3"/>
        <v>0.96</v>
      </c>
      <c r="AQ19" s="89">
        <f>MAX(W19,AB19,AG19,AL19)</f>
        <v>0.92149999999999999</v>
      </c>
      <c r="AR19" s="74">
        <f t="shared" si="9"/>
        <v>0.95989583333333339</v>
      </c>
      <c r="AS19" s="95" t="s">
        <v>110</v>
      </c>
    </row>
    <row r="20" spans="1:45" s="25" customFormat="1" ht="164.25" customHeight="1">
      <c r="A20" s="17">
        <v>4</v>
      </c>
      <c r="B20" s="16" t="s">
        <v>53</v>
      </c>
      <c r="C20" s="16" t="s">
        <v>75</v>
      </c>
      <c r="D20" s="21" t="s">
        <v>111</v>
      </c>
      <c r="E20" s="16" t="s">
        <v>112</v>
      </c>
      <c r="F20" s="16" t="s">
        <v>57</v>
      </c>
      <c r="G20" s="16" t="s">
        <v>113</v>
      </c>
      <c r="H20" s="16" t="s">
        <v>114</v>
      </c>
      <c r="I20" s="28" t="s">
        <v>60</v>
      </c>
      <c r="J20" s="16" t="s">
        <v>61</v>
      </c>
      <c r="K20" s="16" t="s">
        <v>62</v>
      </c>
      <c r="L20" s="28">
        <v>0.1</v>
      </c>
      <c r="M20" s="28">
        <v>0.25</v>
      </c>
      <c r="N20" s="29">
        <v>0.35</v>
      </c>
      <c r="O20" s="29">
        <v>0.52</v>
      </c>
      <c r="P20" s="28">
        <v>0.52</v>
      </c>
      <c r="Q20" s="16" t="s">
        <v>80</v>
      </c>
      <c r="R20" s="16" t="s">
        <v>81</v>
      </c>
      <c r="S20" s="16" t="s">
        <v>82</v>
      </c>
      <c r="T20" s="16" t="s">
        <v>66</v>
      </c>
      <c r="U20" s="16" t="s">
        <v>67</v>
      </c>
      <c r="V20" s="61">
        <f t="shared" si="4"/>
        <v>0.1</v>
      </c>
      <c r="W20" s="74">
        <f>2539019157/107359187000</f>
        <v>2.3649761403278884E-2</v>
      </c>
      <c r="X20" s="74">
        <f t="shared" si="5"/>
        <v>0.23649761403278882</v>
      </c>
      <c r="Y20" s="16" t="s">
        <v>115</v>
      </c>
      <c r="Z20" s="60" t="s">
        <v>84</v>
      </c>
      <c r="AA20" s="29">
        <f t="shared" si="0"/>
        <v>0.25</v>
      </c>
      <c r="AB20" s="27">
        <v>5.8700000000000002E-2</v>
      </c>
      <c r="AC20" s="80">
        <f t="shared" si="6"/>
        <v>0.23480000000000001</v>
      </c>
      <c r="AD20" s="16" t="s">
        <v>116</v>
      </c>
      <c r="AE20" s="16" t="s">
        <v>86</v>
      </c>
      <c r="AF20" s="29">
        <f t="shared" si="1"/>
        <v>0.35</v>
      </c>
      <c r="AG20" s="88">
        <v>0.1103</v>
      </c>
      <c r="AH20" s="80">
        <f t="shared" si="7"/>
        <v>0.31514285714285717</v>
      </c>
      <c r="AI20" s="16" t="s">
        <v>117</v>
      </c>
      <c r="AJ20" s="16" t="s">
        <v>88</v>
      </c>
      <c r="AK20" s="29">
        <f t="shared" si="2"/>
        <v>0.52</v>
      </c>
      <c r="AL20" s="96">
        <v>0.31340000000000001</v>
      </c>
      <c r="AM20" s="80">
        <f t="shared" si="8"/>
        <v>0.60269230769230775</v>
      </c>
      <c r="AN20" s="98" t="s">
        <v>118</v>
      </c>
      <c r="AO20" s="97" t="s">
        <v>109</v>
      </c>
      <c r="AP20" s="61">
        <f t="shared" si="3"/>
        <v>0.52</v>
      </c>
      <c r="AQ20" s="89">
        <f>MAX(W20,AB20,AG20,AL20)</f>
        <v>0.31340000000000001</v>
      </c>
      <c r="AR20" s="74">
        <f t="shared" si="9"/>
        <v>0.60269230769230775</v>
      </c>
      <c r="AS20" s="95" t="s">
        <v>119</v>
      </c>
    </row>
    <row r="21" spans="1:45" s="25" customFormat="1" ht="265.5">
      <c r="A21" s="17">
        <v>4</v>
      </c>
      <c r="B21" s="16" t="s">
        <v>53</v>
      </c>
      <c r="C21" s="16" t="s">
        <v>75</v>
      </c>
      <c r="D21" s="21" t="s">
        <v>120</v>
      </c>
      <c r="E21" s="16" t="s">
        <v>121</v>
      </c>
      <c r="F21" s="16" t="s">
        <v>122</v>
      </c>
      <c r="G21" s="16" t="s">
        <v>123</v>
      </c>
      <c r="H21" s="16" t="s">
        <v>124</v>
      </c>
      <c r="I21" s="16" t="s">
        <v>60</v>
      </c>
      <c r="J21" s="16" t="s">
        <v>125</v>
      </c>
      <c r="K21" s="16" t="s">
        <v>62</v>
      </c>
      <c r="L21" s="28">
        <v>1</v>
      </c>
      <c r="M21" s="28">
        <v>1</v>
      </c>
      <c r="N21" s="28">
        <v>1</v>
      </c>
      <c r="O21" s="28">
        <v>1</v>
      </c>
      <c r="P21" s="28">
        <v>1</v>
      </c>
      <c r="Q21" s="16" t="s">
        <v>80</v>
      </c>
      <c r="R21" s="16" t="s">
        <v>126</v>
      </c>
      <c r="S21" s="16" t="s">
        <v>127</v>
      </c>
      <c r="T21" s="16" t="s">
        <v>66</v>
      </c>
      <c r="U21" s="16" t="s">
        <v>67</v>
      </c>
      <c r="V21" s="61">
        <f t="shared" si="4"/>
        <v>1</v>
      </c>
      <c r="W21" s="61" t="s">
        <v>128</v>
      </c>
      <c r="X21" s="61" t="s">
        <v>128</v>
      </c>
      <c r="Y21" s="16" t="s">
        <v>129</v>
      </c>
      <c r="Z21" s="61" t="s">
        <v>128</v>
      </c>
      <c r="AA21" s="29">
        <f t="shared" si="0"/>
        <v>1</v>
      </c>
      <c r="AB21" s="29">
        <v>0</v>
      </c>
      <c r="AC21" s="80">
        <f t="shared" si="6"/>
        <v>0</v>
      </c>
      <c r="AD21" s="16" t="s">
        <v>130</v>
      </c>
      <c r="AE21" s="16" t="s">
        <v>131</v>
      </c>
      <c r="AF21" s="29">
        <f t="shared" si="1"/>
        <v>1</v>
      </c>
      <c r="AG21" s="88">
        <v>0.97060000000000002</v>
      </c>
      <c r="AH21" s="80">
        <f t="shared" si="7"/>
        <v>0.97060000000000002</v>
      </c>
      <c r="AI21" s="16" t="s">
        <v>132</v>
      </c>
      <c r="AJ21" s="16" t="s">
        <v>133</v>
      </c>
      <c r="AK21" s="29">
        <f t="shared" si="2"/>
        <v>1</v>
      </c>
      <c r="AL21" s="96">
        <v>0.99709999999999999</v>
      </c>
      <c r="AM21" s="80">
        <f t="shared" si="8"/>
        <v>0.99709999999999999</v>
      </c>
      <c r="AN21" s="98" t="s">
        <v>134</v>
      </c>
      <c r="AO21" s="99" t="s">
        <v>135</v>
      </c>
      <c r="AP21" s="61">
        <f t="shared" si="3"/>
        <v>1</v>
      </c>
      <c r="AQ21" s="89">
        <f>AVERAGE(W21,AB21,AG21,AL21)</f>
        <v>0.65590000000000004</v>
      </c>
      <c r="AR21" s="74">
        <f t="shared" si="9"/>
        <v>0.65590000000000004</v>
      </c>
      <c r="AS21" s="95" t="s">
        <v>136</v>
      </c>
    </row>
    <row r="22" spans="1:45" s="25" customFormat="1" ht="299.25">
      <c r="A22" s="17">
        <v>4</v>
      </c>
      <c r="B22" s="16" t="s">
        <v>53</v>
      </c>
      <c r="C22" s="16" t="s">
        <v>75</v>
      </c>
      <c r="D22" s="21" t="s">
        <v>137</v>
      </c>
      <c r="E22" s="16" t="s">
        <v>138</v>
      </c>
      <c r="F22" s="16" t="s">
        <v>122</v>
      </c>
      <c r="G22" s="16" t="s">
        <v>139</v>
      </c>
      <c r="H22" s="16" t="s">
        <v>140</v>
      </c>
      <c r="I22" s="16" t="s">
        <v>60</v>
      </c>
      <c r="J22" s="16" t="s">
        <v>125</v>
      </c>
      <c r="K22" s="16" t="s">
        <v>62</v>
      </c>
      <c r="L22" s="28">
        <v>1</v>
      </c>
      <c r="M22" s="28">
        <v>1</v>
      </c>
      <c r="N22" s="28">
        <v>1</v>
      </c>
      <c r="O22" s="28">
        <v>1</v>
      </c>
      <c r="P22" s="28">
        <v>1</v>
      </c>
      <c r="Q22" s="16" t="s">
        <v>80</v>
      </c>
      <c r="R22" s="16" t="s">
        <v>126</v>
      </c>
      <c r="S22" s="16" t="s">
        <v>141</v>
      </c>
      <c r="T22" s="16" t="s">
        <v>66</v>
      </c>
      <c r="U22" s="16" t="s">
        <v>67</v>
      </c>
      <c r="V22" s="61">
        <f t="shared" si="4"/>
        <v>1</v>
      </c>
      <c r="W22" s="74">
        <f>31/46</f>
        <v>0.67391304347826086</v>
      </c>
      <c r="X22" s="74">
        <f t="shared" si="5"/>
        <v>0.67391304347826086</v>
      </c>
      <c r="Y22" s="60" t="s">
        <v>142</v>
      </c>
      <c r="Z22" s="60" t="s">
        <v>143</v>
      </c>
      <c r="AA22" s="29">
        <f t="shared" si="0"/>
        <v>1</v>
      </c>
      <c r="AB22" s="29">
        <v>0</v>
      </c>
      <c r="AC22" s="80">
        <f t="shared" si="6"/>
        <v>0</v>
      </c>
      <c r="AD22" s="16" t="s">
        <v>130</v>
      </c>
      <c r="AE22" s="16" t="s">
        <v>131</v>
      </c>
      <c r="AF22" s="29">
        <f t="shared" si="1"/>
        <v>1</v>
      </c>
      <c r="AG22" s="88">
        <v>0.95830000000000004</v>
      </c>
      <c r="AH22" s="80">
        <f t="shared" si="7"/>
        <v>0.95830000000000004</v>
      </c>
      <c r="AI22" s="16" t="s">
        <v>144</v>
      </c>
      <c r="AJ22" s="16" t="s">
        <v>145</v>
      </c>
      <c r="AK22" s="29">
        <f t="shared" si="2"/>
        <v>1</v>
      </c>
      <c r="AL22" s="96">
        <f>676/681</f>
        <v>0.9926578560939795</v>
      </c>
      <c r="AM22" s="100">
        <f t="shared" si="8"/>
        <v>0.9926578560939795</v>
      </c>
      <c r="AN22" s="16" t="s">
        <v>146</v>
      </c>
      <c r="AO22" s="101" t="s">
        <v>135</v>
      </c>
      <c r="AP22" s="61">
        <f t="shared" si="3"/>
        <v>1</v>
      </c>
      <c r="AQ22" s="89">
        <f>AVERAGE(W22,AB22,AG22,AL22)</f>
        <v>0.65621772489306007</v>
      </c>
      <c r="AR22" s="74">
        <f t="shared" si="9"/>
        <v>0.65621772489306007</v>
      </c>
      <c r="AS22" s="95" t="s">
        <v>147</v>
      </c>
    </row>
    <row r="23" spans="1:45" s="25" customFormat="1" ht="249">
      <c r="A23" s="17">
        <v>4</v>
      </c>
      <c r="B23" s="16" t="s">
        <v>53</v>
      </c>
      <c r="C23" s="16" t="s">
        <v>75</v>
      </c>
      <c r="D23" s="21" t="s">
        <v>148</v>
      </c>
      <c r="E23" s="16" t="s">
        <v>149</v>
      </c>
      <c r="F23" s="16" t="s">
        <v>122</v>
      </c>
      <c r="G23" s="16" t="s">
        <v>150</v>
      </c>
      <c r="H23" s="16" t="s">
        <v>151</v>
      </c>
      <c r="I23" s="16" t="s">
        <v>60</v>
      </c>
      <c r="J23" s="16" t="s">
        <v>125</v>
      </c>
      <c r="K23" s="16" t="s">
        <v>62</v>
      </c>
      <c r="L23" s="28">
        <v>0.9</v>
      </c>
      <c r="M23" s="28">
        <v>0.9</v>
      </c>
      <c r="N23" s="28">
        <v>0.9</v>
      </c>
      <c r="O23" s="28">
        <v>0.9</v>
      </c>
      <c r="P23" s="28">
        <v>0.9</v>
      </c>
      <c r="Q23" s="16" t="s">
        <v>80</v>
      </c>
      <c r="R23" s="16" t="s">
        <v>152</v>
      </c>
      <c r="S23" s="16" t="s">
        <v>141</v>
      </c>
      <c r="T23" s="16" t="s">
        <v>66</v>
      </c>
      <c r="U23" s="16" t="s">
        <v>153</v>
      </c>
      <c r="V23" s="61">
        <f t="shared" si="4"/>
        <v>0.9</v>
      </c>
      <c r="W23" s="61" t="s">
        <v>128</v>
      </c>
      <c r="X23" s="61" t="s">
        <v>128</v>
      </c>
      <c r="Y23" s="16" t="s">
        <v>129</v>
      </c>
      <c r="Z23" s="61" t="s">
        <v>128</v>
      </c>
      <c r="AA23" s="29">
        <f t="shared" si="0"/>
        <v>0.9</v>
      </c>
      <c r="AB23" s="29">
        <v>0</v>
      </c>
      <c r="AC23" s="80">
        <f t="shared" si="6"/>
        <v>0</v>
      </c>
      <c r="AD23" s="16" t="s">
        <v>130</v>
      </c>
      <c r="AE23" s="16" t="s">
        <v>131</v>
      </c>
      <c r="AF23" s="29">
        <f t="shared" si="1"/>
        <v>0.9</v>
      </c>
      <c r="AG23" s="88">
        <v>1</v>
      </c>
      <c r="AH23" s="80">
        <f t="shared" si="7"/>
        <v>1</v>
      </c>
      <c r="AI23" s="16" t="s">
        <v>154</v>
      </c>
      <c r="AJ23" s="16" t="s">
        <v>145</v>
      </c>
      <c r="AK23" s="29">
        <f t="shared" si="2"/>
        <v>0.9</v>
      </c>
      <c r="AL23" s="96">
        <v>0.1724</v>
      </c>
      <c r="AM23" s="80">
        <f t="shared" si="8"/>
        <v>0.19155555555555553</v>
      </c>
      <c r="AN23" s="98" t="s">
        <v>155</v>
      </c>
      <c r="AO23" s="97" t="s">
        <v>145</v>
      </c>
      <c r="AP23" s="61">
        <f t="shared" si="3"/>
        <v>0.9</v>
      </c>
      <c r="AQ23" s="89">
        <f>AVERAGE(W23,AB23,AG23,AL23)</f>
        <v>0.39080000000000004</v>
      </c>
      <c r="AR23" s="74">
        <f t="shared" si="9"/>
        <v>0.43422222222222223</v>
      </c>
      <c r="AS23" s="95" t="s">
        <v>156</v>
      </c>
    </row>
    <row r="24" spans="1:45" s="25" customFormat="1" ht="409.6">
      <c r="A24" s="17">
        <v>4</v>
      </c>
      <c r="B24" s="16" t="s">
        <v>53</v>
      </c>
      <c r="C24" s="16" t="s">
        <v>75</v>
      </c>
      <c r="D24" s="21" t="s">
        <v>157</v>
      </c>
      <c r="E24" s="16" t="s">
        <v>158</v>
      </c>
      <c r="F24" s="16" t="s">
        <v>122</v>
      </c>
      <c r="G24" s="16" t="s">
        <v>150</v>
      </c>
      <c r="H24" s="16" t="s">
        <v>159</v>
      </c>
      <c r="I24" s="16" t="s">
        <v>60</v>
      </c>
      <c r="J24" s="16" t="s">
        <v>61</v>
      </c>
      <c r="K24" s="16" t="s">
        <v>62</v>
      </c>
      <c r="L24" s="28">
        <v>0</v>
      </c>
      <c r="M24" s="28">
        <v>0</v>
      </c>
      <c r="N24" s="28">
        <v>0</v>
      </c>
      <c r="O24" s="28">
        <v>1</v>
      </c>
      <c r="P24" s="28">
        <v>1</v>
      </c>
      <c r="Q24" s="16" t="s">
        <v>80</v>
      </c>
      <c r="R24" s="30" t="s">
        <v>152</v>
      </c>
      <c r="S24" s="30" t="s">
        <v>141</v>
      </c>
      <c r="T24" s="30" t="s">
        <v>160</v>
      </c>
      <c r="U24" s="30" t="s">
        <v>153</v>
      </c>
      <c r="V24" s="61" t="s">
        <v>68</v>
      </c>
      <c r="W24" s="61" t="s">
        <v>68</v>
      </c>
      <c r="X24" s="61" t="s">
        <v>68</v>
      </c>
      <c r="Y24" s="16" t="s">
        <v>69</v>
      </c>
      <c r="Z24" s="61" t="s">
        <v>68</v>
      </c>
      <c r="AA24" s="29">
        <f t="shared" si="0"/>
        <v>0</v>
      </c>
      <c r="AB24" s="16" t="s">
        <v>70</v>
      </c>
      <c r="AC24" s="80" t="s">
        <v>70</v>
      </c>
      <c r="AD24" s="16" t="s">
        <v>161</v>
      </c>
      <c r="AE24" s="16" t="s">
        <v>162</v>
      </c>
      <c r="AF24" s="29">
        <f t="shared" si="1"/>
        <v>0</v>
      </c>
      <c r="AG24" s="88" t="s">
        <v>70</v>
      </c>
      <c r="AH24" s="80" t="s">
        <v>70</v>
      </c>
      <c r="AI24" s="16" t="s">
        <v>163</v>
      </c>
      <c r="AJ24" s="16" t="s">
        <v>145</v>
      </c>
      <c r="AK24" s="29">
        <f t="shared" si="2"/>
        <v>1</v>
      </c>
      <c r="AL24" s="27">
        <v>0.1724</v>
      </c>
      <c r="AM24" s="80">
        <f t="shared" si="8"/>
        <v>0.1724</v>
      </c>
      <c r="AN24" s="93" t="s">
        <v>164</v>
      </c>
      <c r="AO24" s="94" t="s">
        <v>145</v>
      </c>
      <c r="AP24" s="61">
        <f t="shared" si="3"/>
        <v>1</v>
      </c>
      <c r="AQ24" s="89">
        <f>MAX(W24,AB24,AG24,AL24)</f>
        <v>0.1724</v>
      </c>
      <c r="AR24" s="74">
        <f t="shared" si="9"/>
        <v>0.1724</v>
      </c>
      <c r="AS24" s="95" t="s">
        <v>165</v>
      </c>
    </row>
    <row r="25" spans="1:45" s="25" customFormat="1" ht="133.5">
      <c r="A25" s="17">
        <v>4</v>
      </c>
      <c r="B25" s="16" t="s">
        <v>53</v>
      </c>
      <c r="C25" s="16" t="s">
        <v>166</v>
      </c>
      <c r="D25" s="21" t="s">
        <v>167</v>
      </c>
      <c r="E25" s="16" t="s">
        <v>168</v>
      </c>
      <c r="F25" s="16" t="s">
        <v>122</v>
      </c>
      <c r="G25" s="16" t="s">
        <v>169</v>
      </c>
      <c r="H25" s="16" t="s">
        <v>170</v>
      </c>
      <c r="I25" s="16" t="s">
        <v>60</v>
      </c>
      <c r="J25" s="16" t="s">
        <v>171</v>
      </c>
      <c r="K25" s="16" t="s">
        <v>172</v>
      </c>
      <c r="L25" s="16">
        <v>2200</v>
      </c>
      <c r="M25" s="16">
        <v>2200</v>
      </c>
      <c r="N25" s="16">
        <v>2200</v>
      </c>
      <c r="O25" s="16">
        <v>2200</v>
      </c>
      <c r="P25" s="16">
        <f t="shared" ref="P25:P31" si="10">SUM(L25:O25)</f>
        <v>8800</v>
      </c>
      <c r="Q25" s="16" t="s">
        <v>80</v>
      </c>
      <c r="R25" s="16" t="s">
        <v>173</v>
      </c>
      <c r="S25" s="16" t="s">
        <v>174</v>
      </c>
      <c r="T25" s="16" t="s">
        <v>175</v>
      </c>
      <c r="U25" s="16" t="s">
        <v>176</v>
      </c>
      <c r="V25" s="62">
        <f t="shared" si="4"/>
        <v>2200</v>
      </c>
      <c r="W25" s="58">
        <v>6610</v>
      </c>
      <c r="X25" s="61">
        <f t="shared" si="5"/>
        <v>1</v>
      </c>
      <c r="Y25" s="16" t="s">
        <v>177</v>
      </c>
      <c r="Z25" s="60" t="s">
        <v>178</v>
      </c>
      <c r="AA25" s="24">
        <f t="shared" si="0"/>
        <v>2200</v>
      </c>
      <c r="AB25" s="16">
        <v>7713</v>
      </c>
      <c r="AC25" s="80">
        <f t="shared" si="6"/>
        <v>1</v>
      </c>
      <c r="AD25" s="16" t="s">
        <v>179</v>
      </c>
      <c r="AE25" s="16" t="s">
        <v>178</v>
      </c>
      <c r="AF25" s="24">
        <f t="shared" si="1"/>
        <v>2200</v>
      </c>
      <c r="AG25" s="16">
        <v>5001</v>
      </c>
      <c r="AH25" s="80">
        <f t="shared" si="7"/>
        <v>1</v>
      </c>
      <c r="AI25" s="16" t="s">
        <v>180</v>
      </c>
      <c r="AJ25" s="16" t="s">
        <v>181</v>
      </c>
      <c r="AK25" s="24">
        <f t="shared" si="2"/>
        <v>2200</v>
      </c>
      <c r="AL25" s="16">
        <v>7556</v>
      </c>
      <c r="AM25" s="80">
        <f t="shared" si="8"/>
        <v>1</v>
      </c>
      <c r="AN25" s="16" t="s">
        <v>182</v>
      </c>
      <c r="AO25" s="16" t="s">
        <v>183</v>
      </c>
      <c r="AP25" s="17">
        <f t="shared" si="3"/>
        <v>8800</v>
      </c>
      <c r="AQ25" s="17">
        <f>SUM(W25,AB25,AG25,AL25)</f>
        <v>26880</v>
      </c>
      <c r="AR25" s="74">
        <f t="shared" si="9"/>
        <v>1</v>
      </c>
      <c r="AS25" s="95" t="s">
        <v>91</v>
      </c>
    </row>
    <row r="26" spans="1:45" s="25" customFormat="1" ht="133.5">
      <c r="A26" s="17">
        <v>4</v>
      </c>
      <c r="B26" s="16" t="s">
        <v>53</v>
      </c>
      <c r="C26" s="16" t="s">
        <v>166</v>
      </c>
      <c r="D26" s="21" t="s">
        <v>184</v>
      </c>
      <c r="E26" s="16" t="s">
        <v>185</v>
      </c>
      <c r="F26" s="16" t="s">
        <v>57</v>
      </c>
      <c r="G26" s="16" t="s">
        <v>186</v>
      </c>
      <c r="H26" s="16" t="s">
        <v>187</v>
      </c>
      <c r="I26" s="16" t="s">
        <v>60</v>
      </c>
      <c r="J26" s="16" t="s">
        <v>171</v>
      </c>
      <c r="K26" s="16" t="s">
        <v>188</v>
      </c>
      <c r="L26" s="36">
        <v>600</v>
      </c>
      <c r="M26" s="36">
        <v>600</v>
      </c>
      <c r="N26" s="36">
        <v>600</v>
      </c>
      <c r="O26" s="36">
        <v>600</v>
      </c>
      <c r="P26" s="16">
        <f t="shared" si="10"/>
        <v>2400</v>
      </c>
      <c r="Q26" s="16" t="s">
        <v>80</v>
      </c>
      <c r="R26" s="16" t="s">
        <v>189</v>
      </c>
      <c r="S26" s="16" t="s">
        <v>174</v>
      </c>
      <c r="T26" s="16" t="s">
        <v>175</v>
      </c>
      <c r="U26" s="16" t="s">
        <v>176</v>
      </c>
      <c r="V26" s="62">
        <f t="shared" si="4"/>
        <v>600</v>
      </c>
      <c r="W26" s="59">
        <v>1170</v>
      </c>
      <c r="X26" s="61">
        <f t="shared" si="5"/>
        <v>1</v>
      </c>
      <c r="Y26" s="16" t="s">
        <v>190</v>
      </c>
      <c r="Z26" s="60" t="s">
        <v>178</v>
      </c>
      <c r="AA26" s="24">
        <f t="shared" si="0"/>
        <v>600</v>
      </c>
      <c r="AB26" s="16">
        <v>2116</v>
      </c>
      <c r="AC26" s="80">
        <f t="shared" si="6"/>
        <v>1</v>
      </c>
      <c r="AD26" s="16" t="s">
        <v>191</v>
      </c>
      <c r="AE26" s="16" t="s">
        <v>178</v>
      </c>
      <c r="AF26" s="24">
        <f t="shared" si="1"/>
        <v>600</v>
      </c>
      <c r="AG26" s="16">
        <v>423</v>
      </c>
      <c r="AH26" s="80">
        <f t="shared" si="7"/>
        <v>0.70499999999999996</v>
      </c>
      <c r="AI26" s="16" t="s">
        <v>192</v>
      </c>
      <c r="AJ26" s="16" t="s">
        <v>181</v>
      </c>
      <c r="AK26" s="24">
        <f t="shared" si="2"/>
        <v>600</v>
      </c>
      <c r="AL26" s="16">
        <v>1340</v>
      </c>
      <c r="AM26" s="80">
        <f t="shared" si="8"/>
        <v>1</v>
      </c>
      <c r="AN26" s="16" t="s">
        <v>193</v>
      </c>
      <c r="AO26" s="16" t="s">
        <v>183</v>
      </c>
      <c r="AP26" s="17">
        <f t="shared" si="3"/>
        <v>2400</v>
      </c>
      <c r="AQ26" s="17">
        <f t="shared" ref="AQ26:AQ30" si="11">SUM(W26,AB26,AG26,AL26)</f>
        <v>5049</v>
      </c>
      <c r="AR26" s="74">
        <f t="shared" si="9"/>
        <v>1</v>
      </c>
      <c r="AS26" s="95" t="s">
        <v>91</v>
      </c>
    </row>
    <row r="27" spans="1:45" s="25" customFormat="1" ht="99.75">
      <c r="A27" s="17">
        <v>4</v>
      </c>
      <c r="B27" s="16" t="s">
        <v>53</v>
      </c>
      <c r="C27" s="16" t="s">
        <v>166</v>
      </c>
      <c r="D27" s="21" t="s">
        <v>194</v>
      </c>
      <c r="E27" s="16" t="s">
        <v>195</v>
      </c>
      <c r="F27" s="16" t="s">
        <v>57</v>
      </c>
      <c r="G27" s="16" t="s">
        <v>196</v>
      </c>
      <c r="H27" s="16" t="s">
        <v>197</v>
      </c>
      <c r="I27" s="16" t="s">
        <v>60</v>
      </c>
      <c r="J27" s="16" t="s">
        <v>171</v>
      </c>
      <c r="K27" s="16" t="s">
        <v>198</v>
      </c>
      <c r="L27" s="36">
        <v>50</v>
      </c>
      <c r="M27" s="36">
        <v>200</v>
      </c>
      <c r="N27" s="36">
        <v>200</v>
      </c>
      <c r="O27" s="36">
        <v>150</v>
      </c>
      <c r="P27" s="16">
        <f t="shared" si="10"/>
        <v>600</v>
      </c>
      <c r="Q27" s="16" t="s">
        <v>80</v>
      </c>
      <c r="R27" s="16" t="s">
        <v>199</v>
      </c>
      <c r="S27" s="16" t="s">
        <v>200</v>
      </c>
      <c r="T27" s="16" t="s">
        <v>175</v>
      </c>
      <c r="U27" s="16" t="s">
        <v>176</v>
      </c>
      <c r="V27" s="62">
        <f t="shared" si="4"/>
        <v>50</v>
      </c>
      <c r="W27" s="59">
        <v>56</v>
      </c>
      <c r="X27" s="61">
        <f t="shared" si="5"/>
        <v>1</v>
      </c>
      <c r="Y27" s="16" t="s">
        <v>201</v>
      </c>
      <c r="Z27" s="60" t="s">
        <v>178</v>
      </c>
      <c r="AA27" s="24">
        <f t="shared" si="0"/>
        <v>200</v>
      </c>
      <c r="AB27" s="16">
        <v>178</v>
      </c>
      <c r="AC27" s="80">
        <f t="shared" si="6"/>
        <v>0.89</v>
      </c>
      <c r="AD27" s="16" t="s">
        <v>202</v>
      </c>
      <c r="AE27" s="16" t="s">
        <v>178</v>
      </c>
      <c r="AF27" s="24">
        <f t="shared" si="1"/>
        <v>200</v>
      </c>
      <c r="AG27" s="16">
        <v>50</v>
      </c>
      <c r="AH27" s="80">
        <f t="shared" si="7"/>
        <v>0.25</v>
      </c>
      <c r="AI27" s="16" t="s">
        <v>203</v>
      </c>
      <c r="AJ27" s="16" t="s">
        <v>204</v>
      </c>
      <c r="AK27" s="24">
        <f t="shared" si="2"/>
        <v>150</v>
      </c>
      <c r="AL27" s="16">
        <v>312</v>
      </c>
      <c r="AM27" s="80">
        <f t="shared" si="8"/>
        <v>1</v>
      </c>
      <c r="AN27" s="16" t="s">
        <v>205</v>
      </c>
      <c r="AO27" s="16" t="s">
        <v>206</v>
      </c>
      <c r="AP27" s="17">
        <f t="shared" si="3"/>
        <v>600</v>
      </c>
      <c r="AQ27" s="17">
        <f t="shared" si="11"/>
        <v>596</v>
      </c>
      <c r="AR27" s="74">
        <f t="shared" si="9"/>
        <v>0.99333333333333329</v>
      </c>
      <c r="AS27" s="95" t="s">
        <v>207</v>
      </c>
    </row>
    <row r="28" spans="1:45" s="25" customFormat="1" ht="99.75">
      <c r="A28" s="17">
        <v>4</v>
      </c>
      <c r="B28" s="16" t="s">
        <v>53</v>
      </c>
      <c r="C28" s="16" t="s">
        <v>166</v>
      </c>
      <c r="D28" s="21" t="s">
        <v>208</v>
      </c>
      <c r="E28" s="16" t="s">
        <v>209</v>
      </c>
      <c r="F28" s="16" t="s">
        <v>122</v>
      </c>
      <c r="G28" s="16" t="s">
        <v>210</v>
      </c>
      <c r="H28" s="16" t="s">
        <v>211</v>
      </c>
      <c r="I28" s="16" t="s">
        <v>60</v>
      </c>
      <c r="J28" s="16" t="s">
        <v>171</v>
      </c>
      <c r="K28" s="16" t="s">
        <v>212</v>
      </c>
      <c r="L28" s="16">
        <v>60</v>
      </c>
      <c r="M28" s="16">
        <v>99</v>
      </c>
      <c r="N28" s="16">
        <v>141</v>
      </c>
      <c r="O28" s="16">
        <v>101</v>
      </c>
      <c r="P28" s="16">
        <f t="shared" si="10"/>
        <v>401</v>
      </c>
      <c r="Q28" s="16" t="s">
        <v>80</v>
      </c>
      <c r="R28" s="16" t="s">
        <v>199</v>
      </c>
      <c r="S28" s="16" t="s">
        <v>200</v>
      </c>
      <c r="T28" s="16" t="s">
        <v>175</v>
      </c>
      <c r="U28" s="16" t="s">
        <v>176</v>
      </c>
      <c r="V28" s="62">
        <f t="shared" si="4"/>
        <v>60</v>
      </c>
      <c r="W28" s="59">
        <v>38</v>
      </c>
      <c r="X28" s="74">
        <f t="shared" si="5"/>
        <v>0.6333333333333333</v>
      </c>
      <c r="Y28" s="16" t="s">
        <v>213</v>
      </c>
      <c r="Z28" s="60" t="s">
        <v>178</v>
      </c>
      <c r="AA28" s="24">
        <f t="shared" si="0"/>
        <v>99</v>
      </c>
      <c r="AB28" s="16">
        <v>55</v>
      </c>
      <c r="AC28" s="80">
        <f t="shared" si="6"/>
        <v>0.55555555555555558</v>
      </c>
      <c r="AD28" s="16" t="s">
        <v>214</v>
      </c>
      <c r="AE28" s="16" t="s">
        <v>178</v>
      </c>
      <c r="AF28" s="24">
        <f t="shared" si="1"/>
        <v>141</v>
      </c>
      <c r="AG28" s="16">
        <v>53</v>
      </c>
      <c r="AH28" s="80">
        <f t="shared" si="7"/>
        <v>0.37588652482269502</v>
      </c>
      <c r="AI28" s="16" t="s">
        <v>215</v>
      </c>
      <c r="AJ28" s="16" t="s">
        <v>204</v>
      </c>
      <c r="AK28" s="24">
        <f t="shared" si="2"/>
        <v>101</v>
      </c>
      <c r="AL28" s="16">
        <v>236</v>
      </c>
      <c r="AM28" s="80">
        <f t="shared" si="8"/>
        <v>1</v>
      </c>
      <c r="AN28" s="16" t="s">
        <v>216</v>
      </c>
      <c r="AO28" s="16" t="s">
        <v>206</v>
      </c>
      <c r="AP28" s="17">
        <f t="shared" si="3"/>
        <v>401</v>
      </c>
      <c r="AQ28" s="17">
        <f t="shared" si="11"/>
        <v>382</v>
      </c>
      <c r="AR28" s="74">
        <f t="shared" si="9"/>
        <v>0.95261845386533661</v>
      </c>
      <c r="AS28" s="95" t="s">
        <v>217</v>
      </c>
    </row>
    <row r="29" spans="1:45" s="25" customFormat="1" ht="232.5">
      <c r="A29" s="17">
        <v>4</v>
      </c>
      <c r="B29" s="16" t="s">
        <v>53</v>
      </c>
      <c r="C29" s="16" t="s">
        <v>166</v>
      </c>
      <c r="D29" s="21" t="s">
        <v>218</v>
      </c>
      <c r="E29" s="16" t="s">
        <v>219</v>
      </c>
      <c r="F29" s="16" t="s">
        <v>122</v>
      </c>
      <c r="G29" s="16" t="s">
        <v>220</v>
      </c>
      <c r="H29" s="16" t="s">
        <v>221</v>
      </c>
      <c r="I29" s="16" t="s">
        <v>60</v>
      </c>
      <c r="J29" s="16" t="s">
        <v>171</v>
      </c>
      <c r="K29" s="16" t="s">
        <v>222</v>
      </c>
      <c r="L29" s="16">
        <v>32</v>
      </c>
      <c r="M29" s="16">
        <v>60</v>
      </c>
      <c r="N29" s="16">
        <v>60</v>
      </c>
      <c r="O29" s="16">
        <v>40</v>
      </c>
      <c r="P29" s="16">
        <f t="shared" si="10"/>
        <v>192</v>
      </c>
      <c r="Q29" s="16" t="s">
        <v>80</v>
      </c>
      <c r="R29" s="16" t="s">
        <v>223</v>
      </c>
      <c r="S29" s="16" t="s">
        <v>224</v>
      </c>
      <c r="T29" s="16" t="s">
        <v>175</v>
      </c>
      <c r="U29" s="16" t="s">
        <v>176</v>
      </c>
      <c r="V29" s="62">
        <f t="shared" si="4"/>
        <v>32</v>
      </c>
      <c r="W29" s="59">
        <v>17</v>
      </c>
      <c r="X29" s="61">
        <f t="shared" si="5"/>
        <v>0.53125</v>
      </c>
      <c r="Y29" s="16" t="s">
        <v>225</v>
      </c>
      <c r="Z29" s="60" t="s">
        <v>226</v>
      </c>
      <c r="AA29" s="24">
        <f t="shared" si="0"/>
        <v>60</v>
      </c>
      <c r="AB29" s="16">
        <v>25</v>
      </c>
      <c r="AC29" s="80">
        <f t="shared" si="6"/>
        <v>0.41666666666666669</v>
      </c>
      <c r="AD29" s="16" t="s">
        <v>227</v>
      </c>
      <c r="AE29" s="16" t="s">
        <v>226</v>
      </c>
      <c r="AF29" s="24">
        <f t="shared" si="1"/>
        <v>60</v>
      </c>
      <c r="AG29" s="16">
        <v>60</v>
      </c>
      <c r="AH29" s="80">
        <f t="shared" si="7"/>
        <v>1</v>
      </c>
      <c r="AI29" s="16" t="s">
        <v>228</v>
      </c>
      <c r="AJ29" s="16" t="s">
        <v>229</v>
      </c>
      <c r="AK29" s="24">
        <f t="shared" si="2"/>
        <v>40</v>
      </c>
      <c r="AL29" s="16">
        <v>153</v>
      </c>
      <c r="AM29" s="80">
        <f t="shared" si="8"/>
        <v>1</v>
      </c>
      <c r="AN29" s="16" t="s">
        <v>230</v>
      </c>
      <c r="AO29" s="16" t="s">
        <v>231</v>
      </c>
      <c r="AP29" s="17">
        <f t="shared" si="3"/>
        <v>192</v>
      </c>
      <c r="AQ29" s="17">
        <f>SUM(W29,AB29,AG29,AL29)</f>
        <v>255</v>
      </c>
      <c r="AR29" s="74">
        <f t="shared" si="9"/>
        <v>1</v>
      </c>
      <c r="AS29" s="95" t="s">
        <v>91</v>
      </c>
    </row>
    <row r="30" spans="1:45" s="25" customFormat="1" ht="232.5">
      <c r="A30" s="17">
        <v>4</v>
      </c>
      <c r="B30" s="16" t="s">
        <v>53</v>
      </c>
      <c r="C30" s="16" t="s">
        <v>166</v>
      </c>
      <c r="D30" s="21" t="s">
        <v>232</v>
      </c>
      <c r="E30" s="16" t="s">
        <v>233</v>
      </c>
      <c r="F30" s="16" t="s">
        <v>122</v>
      </c>
      <c r="G30" s="16" t="s">
        <v>234</v>
      </c>
      <c r="H30" s="16" t="s">
        <v>235</v>
      </c>
      <c r="I30" s="16" t="s">
        <v>60</v>
      </c>
      <c r="J30" s="16" t="s">
        <v>171</v>
      </c>
      <c r="K30" s="16" t="s">
        <v>222</v>
      </c>
      <c r="L30" s="16">
        <v>37</v>
      </c>
      <c r="M30" s="16">
        <v>60</v>
      </c>
      <c r="N30" s="16">
        <v>60</v>
      </c>
      <c r="O30" s="16">
        <v>50</v>
      </c>
      <c r="P30" s="16">
        <f t="shared" si="10"/>
        <v>207</v>
      </c>
      <c r="Q30" s="16" t="s">
        <v>80</v>
      </c>
      <c r="R30" s="16" t="s">
        <v>236</v>
      </c>
      <c r="S30" s="16" t="s">
        <v>224</v>
      </c>
      <c r="T30" s="16" t="s">
        <v>175</v>
      </c>
      <c r="U30" s="16" t="s">
        <v>176</v>
      </c>
      <c r="V30" s="62">
        <f t="shared" si="4"/>
        <v>37</v>
      </c>
      <c r="W30" s="59">
        <v>26</v>
      </c>
      <c r="X30" s="74">
        <f t="shared" si="5"/>
        <v>0.70270270270270274</v>
      </c>
      <c r="Y30" s="16" t="s">
        <v>237</v>
      </c>
      <c r="Z30" s="60" t="s">
        <v>226</v>
      </c>
      <c r="AA30" s="24">
        <f t="shared" si="0"/>
        <v>60</v>
      </c>
      <c r="AB30" s="16">
        <v>56</v>
      </c>
      <c r="AC30" s="80">
        <f t="shared" si="6"/>
        <v>0.93333333333333335</v>
      </c>
      <c r="AD30" s="16" t="s">
        <v>238</v>
      </c>
      <c r="AE30" s="16" t="s">
        <v>226</v>
      </c>
      <c r="AF30" s="24">
        <f t="shared" si="1"/>
        <v>60</v>
      </c>
      <c r="AG30" s="16">
        <v>77</v>
      </c>
      <c r="AH30" s="80">
        <f t="shared" si="7"/>
        <v>1</v>
      </c>
      <c r="AI30" s="16" t="s">
        <v>239</v>
      </c>
      <c r="AJ30" s="16" t="s">
        <v>229</v>
      </c>
      <c r="AK30" s="24">
        <f t="shared" si="2"/>
        <v>50</v>
      </c>
      <c r="AL30" s="16">
        <v>91</v>
      </c>
      <c r="AM30" s="80">
        <f t="shared" si="8"/>
        <v>1</v>
      </c>
      <c r="AN30" s="16" t="s">
        <v>240</v>
      </c>
      <c r="AO30" s="16" t="s">
        <v>241</v>
      </c>
      <c r="AP30" s="17">
        <f t="shared" si="3"/>
        <v>207</v>
      </c>
      <c r="AQ30" s="17">
        <f t="shared" si="11"/>
        <v>250</v>
      </c>
      <c r="AR30" s="74">
        <f t="shared" si="9"/>
        <v>1</v>
      </c>
      <c r="AS30" s="95" t="s">
        <v>91</v>
      </c>
    </row>
    <row r="31" spans="1:45" s="25" customFormat="1" ht="150">
      <c r="A31" s="17">
        <v>4</v>
      </c>
      <c r="B31" s="16" t="s">
        <v>53</v>
      </c>
      <c r="C31" s="16" t="s">
        <v>166</v>
      </c>
      <c r="D31" s="21" t="s">
        <v>242</v>
      </c>
      <c r="E31" s="16" t="s">
        <v>243</v>
      </c>
      <c r="F31" s="16" t="s">
        <v>122</v>
      </c>
      <c r="G31" s="16" t="s">
        <v>244</v>
      </c>
      <c r="H31" s="16" t="s">
        <v>245</v>
      </c>
      <c r="I31" s="16" t="s">
        <v>60</v>
      </c>
      <c r="J31" s="16" t="s">
        <v>171</v>
      </c>
      <c r="K31" s="16" t="s">
        <v>222</v>
      </c>
      <c r="L31" s="16">
        <v>10</v>
      </c>
      <c r="M31" s="16">
        <v>21</v>
      </c>
      <c r="N31" s="16">
        <v>21</v>
      </c>
      <c r="O31" s="16">
        <v>12</v>
      </c>
      <c r="P31" s="16">
        <f t="shared" si="10"/>
        <v>64</v>
      </c>
      <c r="Q31" s="16" t="s">
        <v>80</v>
      </c>
      <c r="R31" s="16" t="s">
        <v>246</v>
      </c>
      <c r="S31" s="16" t="s">
        <v>224</v>
      </c>
      <c r="T31" s="16" t="s">
        <v>175</v>
      </c>
      <c r="U31" s="16" t="s">
        <v>176</v>
      </c>
      <c r="V31" s="62">
        <f t="shared" si="4"/>
        <v>10</v>
      </c>
      <c r="W31" s="59">
        <v>22</v>
      </c>
      <c r="X31" s="61">
        <f t="shared" si="5"/>
        <v>1</v>
      </c>
      <c r="Y31" s="16" t="s">
        <v>247</v>
      </c>
      <c r="Z31" s="60" t="s">
        <v>248</v>
      </c>
      <c r="AA31" s="24">
        <f t="shared" si="0"/>
        <v>21</v>
      </c>
      <c r="AB31" s="16">
        <v>17</v>
      </c>
      <c r="AC31" s="80">
        <f t="shared" si="6"/>
        <v>0.80952380952380953</v>
      </c>
      <c r="AD31" s="16" t="s">
        <v>249</v>
      </c>
      <c r="AE31" s="16" t="s">
        <v>248</v>
      </c>
      <c r="AF31" s="24">
        <f t="shared" si="1"/>
        <v>21</v>
      </c>
      <c r="AG31" s="16">
        <v>40</v>
      </c>
      <c r="AH31" s="80">
        <f t="shared" si="7"/>
        <v>1</v>
      </c>
      <c r="AI31" s="16" t="s">
        <v>250</v>
      </c>
      <c r="AJ31" s="16" t="s">
        <v>229</v>
      </c>
      <c r="AK31" s="24">
        <f t="shared" si="2"/>
        <v>12</v>
      </c>
      <c r="AL31" s="16">
        <v>37</v>
      </c>
      <c r="AM31" s="80">
        <f t="shared" si="8"/>
        <v>1</v>
      </c>
      <c r="AN31" s="16" t="s">
        <v>251</v>
      </c>
      <c r="AO31" s="16" t="s">
        <v>252</v>
      </c>
      <c r="AP31" s="17">
        <f t="shared" si="3"/>
        <v>64</v>
      </c>
      <c r="AQ31" s="17">
        <f>SUM(W31,AB31,AG31,AL31)</f>
        <v>116</v>
      </c>
      <c r="AR31" s="61">
        <f t="shared" si="9"/>
        <v>1</v>
      </c>
      <c r="AS31" s="95" t="s">
        <v>91</v>
      </c>
    </row>
    <row r="32" spans="1:45" s="5" customFormat="1" ht="15.75">
      <c r="A32" s="10"/>
      <c r="B32" s="10"/>
      <c r="C32" s="10"/>
      <c r="D32" s="10"/>
      <c r="E32" s="13" t="s">
        <v>253</v>
      </c>
      <c r="F32" s="10"/>
      <c r="G32" s="10"/>
      <c r="H32" s="10"/>
      <c r="I32" s="10"/>
      <c r="J32" s="10"/>
      <c r="K32" s="10"/>
      <c r="L32" s="14"/>
      <c r="M32" s="14"/>
      <c r="N32" s="14"/>
      <c r="O32" s="14"/>
      <c r="P32" s="14"/>
      <c r="Q32" s="10"/>
      <c r="R32" s="10"/>
      <c r="S32" s="10"/>
      <c r="T32" s="10"/>
      <c r="U32" s="10"/>
      <c r="V32" s="14"/>
      <c r="W32" s="14"/>
      <c r="X32" s="76">
        <f>AVERAGE(X16:X31)*80%</f>
        <v>0.54736247065756494</v>
      </c>
      <c r="Y32" s="14"/>
      <c r="Z32" s="14"/>
      <c r="AA32" s="14"/>
      <c r="AB32" s="14"/>
      <c r="AC32" s="82">
        <f>AVERAGE(AC16:AC31)*80%</f>
        <v>0.40775860922146639</v>
      </c>
      <c r="AD32" s="14"/>
      <c r="AE32" s="14"/>
      <c r="AF32" s="14"/>
      <c r="AG32" s="14"/>
      <c r="AH32" s="82">
        <f>AVERAGE(AH16:AH31)*80%</f>
        <v>0.59968359849696118</v>
      </c>
      <c r="AI32" s="14"/>
      <c r="AJ32" s="14"/>
      <c r="AK32" s="14"/>
      <c r="AL32" s="14"/>
      <c r="AM32" s="82">
        <f>AVERAGE(AM16:AM31)*80%</f>
        <v>0.63858491890360014</v>
      </c>
      <c r="AN32" s="10"/>
      <c r="AO32" s="10"/>
      <c r="AP32" s="68"/>
      <c r="AQ32" s="68"/>
      <c r="AR32" s="76">
        <f>AVERAGE(AR16:AR31)*80%</f>
        <v>0.61413383503682106</v>
      </c>
      <c r="AS32" s="10"/>
    </row>
    <row r="33" spans="1:45" s="50" customFormat="1" ht="105" customHeight="1">
      <c r="A33" s="31">
        <v>7</v>
      </c>
      <c r="B33" s="22" t="s">
        <v>254</v>
      </c>
      <c r="C33" s="22" t="s">
        <v>255</v>
      </c>
      <c r="D33" s="37" t="s">
        <v>256</v>
      </c>
      <c r="E33" s="38" t="s">
        <v>257</v>
      </c>
      <c r="F33" s="38" t="s">
        <v>258</v>
      </c>
      <c r="G33" s="38" t="s">
        <v>259</v>
      </c>
      <c r="H33" s="38" t="s">
        <v>260</v>
      </c>
      <c r="I33" s="39" t="s">
        <v>261</v>
      </c>
      <c r="J33" s="38" t="s">
        <v>262</v>
      </c>
      <c r="K33" s="38" t="s">
        <v>263</v>
      </c>
      <c r="L33" s="40" t="s">
        <v>68</v>
      </c>
      <c r="M33" s="41">
        <v>0.8</v>
      </c>
      <c r="N33" s="40" t="s">
        <v>68</v>
      </c>
      <c r="O33" s="42">
        <v>0.8</v>
      </c>
      <c r="P33" s="42">
        <v>0.8</v>
      </c>
      <c r="Q33" s="43" t="s">
        <v>264</v>
      </c>
      <c r="R33" s="43" t="s">
        <v>265</v>
      </c>
      <c r="S33" s="38" t="s">
        <v>266</v>
      </c>
      <c r="T33" s="38" t="s">
        <v>267</v>
      </c>
      <c r="U33" s="44" t="s">
        <v>268</v>
      </c>
      <c r="V33" s="45" t="s">
        <v>68</v>
      </c>
      <c r="W33" s="51" t="s">
        <v>68</v>
      </c>
      <c r="X33" s="63" t="s">
        <v>68</v>
      </c>
      <c r="Y33" s="65" t="s">
        <v>69</v>
      </c>
      <c r="Z33" s="22" t="s">
        <v>68</v>
      </c>
      <c r="AA33" s="46">
        <f>M33</f>
        <v>0.8</v>
      </c>
      <c r="AB33" s="47">
        <v>0.67</v>
      </c>
      <c r="AC33" s="48">
        <f t="shared" ref="AC33:AC39" si="12">IF(AB33/AA33&gt;100%,100%,AB33/AA33)</f>
        <v>0.83750000000000002</v>
      </c>
      <c r="AD33" s="22" t="s">
        <v>269</v>
      </c>
      <c r="AE33" s="22" t="s">
        <v>270</v>
      </c>
      <c r="AF33" s="45" t="s">
        <v>68</v>
      </c>
      <c r="AG33" s="22" t="s">
        <v>68</v>
      </c>
      <c r="AH33" s="22" t="s">
        <v>68</v>
      </c>
      <c r="AI33" s="22" t="s">
        <v>68</v>
      </c>
      <c r="AJ33" s="22" t="s">
        <v>68</v>
      </c>
      <c r="AK33" s="46">
        <f>O33</f>
        <v>0.8</v>
      </c>
      <c r="AL33" s="49">
        <v>0.46</v>
      </c>
      <c r="AM33" s="48">
        <f t="shared" ref="AM33:AM39" si="13">IF(AL33/AK33&gt;100%,100%,AL33/AK33)</f>
        <v>0.57499999999999996</v>
      </c>
      <c r="AN33" s="22" t="s">
        <v>271</v>
      </c>
      <c r="AO33" s="43" t="s">
        <v>265</v>
      </c>
      <c r="AP33" s="69">
        <f>P33</f>
        <v>0.8</v>
      </c>
      <c r="AQ33" s="86">
        <f>AVERAGE(AB33,AL33)</f>
        <v>0.56500000000000006</v>
      </c>
      <c r="AR33" s="48">
        <f t="shared" ref="AR33:AR39" si="14">IF(AQ33/AP33&gt;100%,100%,AQ33/AP33)</f>
        <v>0.70625000000000004</v>
      </c>
      <c r="AS33" s="65" t="s">
        <v>272</v>
      </c>
    </row>
    <row r="34" spans="1:45" s="50" customFormat="1" ht="133.5">
      <c r="A34" s="31">
        <v>7</v>
      </c>
      <c r="B34" s="22" t="s">
        <v>254</v>
      </c>
      <c r="C34" s="22" t="s">
        <v>255</v>
      </c>
      <c r="D34" s="51" t="s">
        <v>273</v>
      </c>
      <c r="E34" s="43" t="s">
        <v>274</v>
      </c>
      <c r="F34" s="43" t="s">
        <v>258</v>
      </c>
      <c r="G34" s="43" t="s">
        <v>275</v>
      </c>
      <c r="H34" s="43" t="s">
        <v>276</v>
      </c>
      <c r="I34" s="43" t="s">
        <v>277</v>
      </c>
      <c r="J34" s="43" t="s">
        <v>262</v>
      </c>
      <c r="K34" s="43" t="s">
        <v>278</v>
      </c>
      <c r="L34" s="52">
        <v>1</v>
      </c>
      <c r="M34" s="52">
        <v>1</v>
      </c>
      <c r="N34" s="52">
        <v>1</v>
      </c>
      <c r="O34" s="53">
        <v>1</v>
      </c>
      <c r="P34" s="53">
        <v>1</v>
      </c>
      <c r="Q34" s="43" t="s">
        <v>264</v>
      </c>
      <c r="R34" s="43" t="s">
        <v>279</v>
      </c>
      <c r="S34" s="43" t="s">
        <v>280</v>
      </c>
      <c r="T34" s="38" t="s">
        <v>267</v>
      </c>
      <c r="U34" s="44" t="s">
        <v>281</v>
      </c>
      <c r="V34" s="47">
        <v>1</v>
      </c>
      <c r="W34" s="77">
        <v>0.84619999999999995</v>
      </c>
      <c r="X34" s="77">
        <f t="shared" ref="X34:X39" si="15">IF(W34/V34&gt;100%,100%,W34/V34)</f>
        <v>0.84619999999999995</v>
      </c>
      <c r="Y34" s="22" t="s">
        <v>282</v>
      </c>
      <c r="Z34" s="22" t="s">
        <v>283</v>
      </c>
      <c r="AA34" s="46">
        <f t="shared" ref="AA34:AA39" si="16">M34</f>
        <v>1</v>
      </c>
      <c r="AB34" s="49">
        <v>0.84619999999999995</v>
      </c>
      <c r="AC34" s="48">
        <f t="shared" si="12"/>
        <v>0.84619999999999995</v>
      </c>
      <c r="AD34" s="22" t="s">
        <v>284</v>
      </c>
      <c r="AE34" s="22" t="s">
        <v>285</v>
      </c>
      <c r="AF34" s="46">
        <f>N34</f>
        <v>1</v>
      </c>
      <c r="AG34" s="49">
        <v>0.84619999999999995</v>
      </c>
      <c r="AH34" s="48">
        <f t="shared" ref="AH34:AH36" si="17">IF(AG34/AF34&gt;100%,100%,AG34/AF34)</f>
        <v>0.84619999999999995</v>
      </c>
      <c r="AI34" s="22" t="s">
        <v>286</v>
      </c>
      <c r="AJ34" s="22" t="s">
        <v>287</v>
      </c>
      <c r="AK34" s="46">
        <f t="shared" ref="AK34:AK39" si="18">O34</f>
        <v>1</v>
      </c>
      <c r="AL34" s="49">
        <v>0.84619999999999995</v>
      </c>
      <c r="AM34" s="48">
        <f t="shared" si="13"/>
        <v>0.84619999999999995</v>
      </c>
      <c r="AN34" s="22" t="s">
        <v>288</v>
      </c>
      <c r="AO34" s="43" t="s">
        <v>279</v>
      </c>
      <c r="AP34" s="69">
        <f t="shared" ref="AP34:AP39" si="19">P34</f>
        <v>1</v>
      </c>
      <c r="AQ34" s="86">
        <f>AVERAGE(W34,AB34,AG34,AL34)</f>
        <v>0.84619999999999995</v>
      </c>
      <c r="AR34" s="48">
        <f t="shared" si="14"/>
        <v>0.84619999999999995</v>
      </c>
      <c r="AS34" s="65" t="s">
        <v>289</v>
      </c>
    </row>
    <row r="35" spans="1:45" s="50" customFormat="1" ht="182.25">
      <c r="A35" s="31">
        <v>7</v>
      </c>
      <c r="B35" s="22" t="s">
        <v>254</v>
      </c>
      <c r="C35" s="22" t="s">
        <v>290</v>
      </c>
      <c r="D35" s="51" t="s">
        <v>291</v>
      </c>
      <c r="E35" s="43" t="s">
        <v>292</v>
      </c>
      <c r="F35" s="43" t="s">
        <v>258</v>
      </c>
      <c r="G35" s="43" t="s">
        <v>293</v>
      </c>
      <c r="H35" s="43" t="s">
        <v>294</v>
      </c>
      <c r="I35" s="43" t="s">
        <v>277</v>
      </c>
      <c r="J35" s="43" t="s">
        <v>262</v>
      </c>
      <c r="K35" s="43" t="s">
        <v>295</v>
      </c>
      <c r="L35" s="40" t="s">
        <v>68</v>
      </c>
      <c r="M35" s="41">
        <v>1</v>
      </c>
      <c r="N35" s="41">
        <v>1</v>
      </c>
      <c r="O35" s="42">
        <v>1</v>
      </c>
      <c r="P35" s="42">
        <v>1</v>
      </c>
      <c r="Q35" s="43" t="s">
        <v>264</v>
      </c>
      <c r="R35" s="43" t="s">
        <v>296</v>
      </c>
      <c r="S35" s="43" t="s">
        <v>297</v>
      </c>
      <c r="T35" s="38" t="s">
        <v>267</v>
      </c>
      <c r="U35" s="44" t="s">
        <v>298</v>
      </c>
      <c r="V35" s="47" t="s">
        <v>68</v>
      </c>
      <c r="W35" s="37" t="s">
        <v>68</v>
      </c>
      <c r="X35" s="64" t="s">
        <v>68</v>
      </c>
      <c r="Y35" s="65" t="s">
        <v>69</v>
      </c>
      <c r="Z35" s="22" t="s">
        <v>68</v>
      </c>
      <c r="AA35" s="46">
        <f t="shared" si="16"/>
        <v>1</v>
      </c>
      <c r="AB35" s="84">
        <v>1</v>
      </c>
      <c r="AC35" s="85">
        <f t="shared" si="12"/>
        <v>1</v>
      </c>
      <c r="AD35" s="23" t="s">
        <v>299</v>
      </c>
      <c r="AE35" s="22" t="s">
        <v>300</v>
      </c>
      <c r="AF35" s="46">
        <f t="shared" ref="AF35:AF36" si="20">N35</f>
        <v>1</v>
      </c>
      <c r="AG35" s="49">
        <v>1</v>
      </c>
      <c r="AH35" s="48">
        <f t="shared" si="17"/>
        <v>1</v>
      </c>
      <c r="AI35" s="22" t="s">
        <v>301</v>
      </c>
      <c r="AJ35" s="22" t="s">
        <v>302</v>
      </c>
      <c r="AK35" s="46">
        <f t="shared" si="18"/>
        <v>1</v>
      </c>
      <c r="AL35" s="49">
        <v>1</v>
      </c>
      <c r="AM35" s="48">
        <f t="shared" si="13"/>
        <v>1</v>
      </c>
      <c r="AN35" s="22" t="s">
        <v>303</v>
      </c>
      <c r="AO35" s="22" t="s">
        <v>304</v>
      </c>
      <c r="AP35" s="69">
        <f t="shared" si="19"/>
        <v>1</v>
      </c>
      <c r="AQ35" s="86">
        <f>AVERAGE(AB35,AG35,AL35)</f>
        <v>1</v>
      </c>
      <c r="AR35" s="48">
        <f t="shared" si="14"/>
        <v>1</v>
      </c>
      <c r="AS35" s="65" t="s">
        <v>91</v>
      </c>
    </row>
    <row r="36" spans="1:45" s="50" customFormat="1" ht="133.5">
      <c r="A36" s="31">
        <v>7</v>
      </c>
      <c r="B36" s="22" t="s">
        <v>254</v>
      </c>
      <c r="C36" s="22" t="s">
        <v>255</v>
      </c>
      <c r="D36" s="51" t="s">
        <v>305</v>
      </c>
      <c r="E36" s="43" t="s">
        <v>306</v>
      </c>
      <c r="F36" s="43" t="s">
        <v>258</v>
      </c>
      <c r="G36" s="43" t="s">
        <v>307</v>
      </c>
      <c r="H36" s="43" t="s">
        <v>308</v>
      </c>
      <c r="I36" s="43" t="s">
        <v>277</v>
      </c>
      <c r="J36" s="43" t="s">
        <v>125</v>
      </c>
      <c r="K36" s="43" t="s">
        <v>307</v>
      </c>
      <c r="L36" s="41">
        <v>1</v>
      </c>
      <c r="M36" s="40" t="s">
        <v>68</v>
      </c>
      <c r="N36" s="41">
        <v>1</v>
      </c>
      <c r="O36" s="42" t="s">
        <v>68</v>
      </c>
      <c r="P36" s="42">
        <v>1</v>
      </c>
      <c r="Q36" s="43" t="s">
        <v>80</v>
      </c>
      <c r="R36" s="43" t="s">
        <v>309</v>
      </c>
      <c r="S36" s="43" t="s">
        <v>309</v>
      </c>
      <c r="T36" s="38" t="s">
        <v>267</v>
      </c>
      <c r="U36" s="44" t="s">
        <v>281</v>
      </c>
      <c r="V36" s="47">
        <v>1</v>
      </c>
      <c r="W36" s="78">
        <v>0</v>
      </c>
      <c r="X36" s="77">
        <f t="shared" si="15"/>
        <v>0</v>
      </c>
      <c r="Y36" s="22" t="s">
        <v>310</v>
      </c>
      <c r="Z36" s="22" t="s">
        <v>311</v>
      </c>
      <c r="AA36" s="46" t="str">
        <f t="shared" si="16"/>
        <v>No programada</v>
      </c>
      <c r="AB36" s="49" t="s">
        <v>312</v>
      </c>
      <c r="AC36" s="48" t="s">
        <v>312</v>
      </c>
      <c r="AD36" s="22" t="s">
        <v>312</v>
      </c>
      <c r="AE36" s="22" t="s">
        <v>68</v>
      </c>
      <c r="AF36" s="46">
        <f t="shared" si="20"/>
        <v>1</v>
      </c>
      <c r="AG36" s="49">
        <v>1</v>
      </c>
      <c r="AH36" s="48">
        <f t="shared" si="17"/>
        <v>1</v>
      </c>
      <c r="AI36" s="22" t="s">
        <v>313</v>
      </c>
      <c r="AJ36" s="22" t="s">
        <v>311</v>
      </c>
      <c r="AK36" s="46" t="str">
        <f t="shared" si="18"/>
        <v>No programada</v>
      </c>
      <c r="AL36" s="26" t="s">
        <v>68</v>
      </c>
      <c r="AM36" s="26" t="s">
        <v>68</v>
      </c>
      <c r="AN36" s="26" t="s">
        <v>68</v>
      </c>
      <c r="AO36" s="26" t="s">
        <v>68</v>
      </c>
      <c r="AP36" s="69">
        <f t="shared" si="19"/>
        <v>1</v>
      </c>
      <c r="AQ36" s="87">
        <v>0.5</v>
      </c>
      <c r="AR36" s="48">
        <f t="shared" ref="AR36" si="21">IF(AQ36/AP36&gt;100%,100%,AQ36/AP36)</f>
        <v>0.5</v>
      </c>
      <c r="AS36" s="65" t="s">
        <v>314</v>
      </c>
    </row>
    <row r="37" spans="1:45" s="50" customFormat="1" ht="133.5">
      <c r="A37" s="31">
        <v>7</v>
      </c>
      <c r="B37" s="22" t="s">
        <v>254</v>
      </c>
      <c r="C37" s="22" t="s">
        <v>255</v>
      </c>
      <c r="D37" s="51" t="s">
        <v>315</v>
      </c>
      <c r="E37" s="22" t="s">
        <v>316</v>
      </c>
      <c r="F37" s="22" t="s">
        <v>258</v>
      </c>
      <c r="G37" s="22" t="s">
        <v>317</v>
      </c>
      <c r="H37" s="22" t="s">
        <v>318</v>
      </c>
      <c r="I37" s="22" t="s">
        <v>128</v>
      </c>
      <c r="J37" s="23" t="s">
        <v>171</v>
      </c>
      <c r="K37" s="22" t="s">
        <v>317</v>
      </c>
      <c r="L37" s="54">
        <v>0</v>
      </c>
      <c r="M37" s="54">
        <v>1</v>
      </c>
      <c r="N37" s="54">
        <v>0</v>
      </c>
      <c r="O37" s="54">
        <v>1</v>
      </c>
      <c r="P37" s="54">
        <v>2</v>
      </c>
      <c r="Q37" s="22" t="s">
        <v>80</v>
      </c>
      <c r="R37" s="55" t="s">
        <v>309</v>
      </c>
      <c r="S37" s="55" t="s">
        <v>309</v>
      </c>
      <c r="T37" s="22" t="s">
        <v>319</v>
      </c>
      <c r="U37" s="56" t="s">
        <v>68</v>
      </c>
      <c r="V37" s="56" t="s">
        <v>68</v>
      </c>
      <c r="W37" s="37" t="s">
        <v>68</v>
      </c>
      <c r="X37" s="64" t="s">
        <v>68</v>
      </c>
      <c r="Y37" s="65" t="s">
        <v>69</v>
      </c>
      <c r="Z37" s="56" t="s">
        <v>68</v>
      </c>
      <c r="AA37" s="57">
        <f t="shared" si="16"/>
        <v>1</v>
      </c>
      <c r="AB37" s="57">
        <v>1</v>
      </c>
      <c r="AC37" s="48">
        <f t="shared" si="12"/>
        <v>1</v>
      </c>
      <c r="AD37" s="22" t="s">
        <v>320</v>
      </c>
      <c r="AE37" s="56" t="s">
        <v>321</v>
      </c>
      <c r="AF37" s="56" t="s">
        <v>68</v>
      </c>
      <c r="AG37" s="56" t="s">
        <v>68</v>
      </c>
      <c r="AH37" s="56" t="s">
        <v>68</v>
      </c>
      <c r="AI37" s="56" t="s">
        <v>68</v>
      </c>
      <c r="AJ37" s="57" t="s">
        <v>68</v>
      </c>
      <c r="AK37" s="57">
        <f t="shared" si="18"/>
        <v>1</v>
      </c>
      <c r="AL37" s="92">
        <v>1</v>
      </c>
      <c r="AM37" s="48">
        <f t="shared" si="13"/>
        <v>1</v>
      </c>
      <c r="AN37" s="22" t="s">
        <v>322</v>
      </c>
      <c r="AO37" s="55" t="s">
        <v>309</v>
      </c>
      <c r="AP37" s="70">
        <f t="shared" si="19"/>
        <v>2</v>
      </c>
      <c r="AQ37" s="70">
        <f>SUM(AB37,AL37)</f>
        <v>2</v>
      </c>
      <c r="AR37" s="48">
        <f t="shared" si="14"/>
        <v>1</v>
      </c>
      <c r="AS37" s="65" t="s">
        <v>91</v>
      </c>
    </row>
    <row r="38" spans="1:45" s="50" customFormat="1" ht="150">
      <c r="A38" s="31">
        <v>5</v>
      </c>
      <c r="B38" s="22" t="s">
        <v>323</v>
      </c>
      <c r="C38" s="22" t="s">
        <v>324</v>
      </c>
      <c r="D38" s="51" t="s">
        <v>325</v>
      </c>
      <c r="E38" s="43" t="s">
        <v>326</v>
      </c>
      <c r="F38" s="43" t="s">
        <v>258</v>
      </c>
      <c r="G38" s="43" t="s">
        <v>327</v>
      </c>
      <c r="H38" s="43" t="s">
        <v>328</v>
      </c>
      <c r="I38" s="43" t="s">
        <v>329</v>
      </c>
      <c r="J38" s="43" t="s">
        <v>171</v>
      </c>
      <c r="K38" s="43" t="s">
        <v>330</v>
      </c>
      <c r="L38" s="41">
        <v>1</v>
      </c>
      <c r="M38" s="41">
        <v>0</v>
      </c>
      <c r="N38" s="41">
        <v>0</v>
      </c>
      <c r="O38" s="42">
        <v>0</v>
      </c>
      <c r="P38" s="42">
        <v>1</v>
      </c>
      <c r="Q38" s="43" t="s">
        <v>80</v>
      </c>
      <c r="R38" s="43" t="s">
        <v>331</v>
      </c>
      <c r="S38" s="43" t="s">
        <v>332</v>
      </c>
      <c r="T38" s="38" t="s">
        <v>333</v>
      </c>
      <c r="U38" s="44" t="s">
        <v>334</v>
      </c>
      <c r="V38" s="46">
        <v>1</v>
      </c>
      <c r="W38" s="78">
        <v>1</v>
      </c>
      <c r="X38" s="77">
        <f t="shared" si="15"/>
        <v>1</v>
      </c>
      <c r="Y38" s="22" t="s">
        <v>335</v>
      </c>
      <c r="Z38" s="22" t="s">
        <v>336</v>
      </c>
      <c r="AA38" s="26" t="s">
        <v>68</v>
      </c>
      <c r="AB38" s="26" t="s">
        <v>68</v>
      </c>
      <c r="AC38" s="26" t="s">
        <v>68</v>
      </c>
      <c r="AD38" s="26" t="s">
        <v>68</v>
      </c>
      <c r="AE38" s="26" t="s">
        <v>68</v>
      </c>
      <c r="AF38" s="26" t="s">
        <v>68</v>
      </c>
      <c r="AG38" s="26" t="s">
        <v>68</v>
      </c>
      <c r="AH38" s="26" t="s">
        <v>68</v>
      </c>
      <c r="AI38" s="26" t="s">
        <v>68</v>
      </c>
      <c r="AJ38" s="26" t="s">
        <v>68</v>
      </c>
      <c r="AK38" s="26" t="s">
        <v>68</v>
      </c>
      <c r="AL38" s="26" t="s">
        <v>68</v>
      </c>
      <c r="AM38" s="26" t="s">
        <v>68</v>
      </c>
      <c r="AN38" s="26" t="s">
        <v>68</v>
      </c>
      <c r="AO38" s="26" t="s">
        <v>68</v>
      </c>
      <c r="AP38" s="69">
        <f t="shared" si="19"/>
        <v>1</v>
      </c>
      <c r="AQ38" s="86">
        <v>1</v>
      </c>
      <c r="AR38" s="48">
        <f t="shared" si="14"/>
        <v>1</v>
      </c>
      <c r="AS38" s="65" t="s">
        <v>91</v>
      </c>
    </row>
    <row r="39" spans="1:45" s="50" customFormat="1" ht="182.25">
      <c r="A39" s="31">
        <v>5</v>
      </c>
      <c r="B39" s="22" t="s">
        <v>323</v>
      </c>
      <c r="C39" s="22" t="s">
        <v>324</v>
      </c>
      <c r="D39" s="51" t="s">
        <v>337</v>
      </c>
      <c r="E39" s="43" t="s">
        <v>338</v>
      </c>
      <c r="F39" s="43" t="s">
        <v>258</v>
      </c>
      <c r="G39" s="43" t="s">
        <v>339</v>
      </c>
      <c r="H39" s="43" t="s">
        <v>340</v>
      </c>
      <c r="I39" s="43" t="s">
        <v>128</v>
      </c>
      <c r="J39" s="43" t="s">
        <v>125</v>
      </c>
      <c r="K39" s="43" t="s">
        <v>341</v>
      </c>
      <c r="L39" s="41">
        <v>1</v>
      </c>
      <c r="M39" s="41">
        <v>1</v>
      </c>
      <c r="N39" s="41">
        <v>1</v>
      </c>
      <c r="O39" s="41">
        <v>1</v>
      </c>
      <c r="P39" s="41">
        <v>1</v>
      </c>
      <c r="Q39" s="43" t="s">
        <v>342</v>
      </c>
      <c r="R39" s="43" t="s">
        <v>343</v>
      </c>
      <c r="S39" s="43" t="s">
        <v>332</v>
      </c>
      <c r="T39" s="38" t="s">
        <v>333</v>
      </c>
      <c r="U39" s="44" t="s">
        <v>334</v>
      </c>
      <c r="V39" s="46">
        <v>1</v>
      </c>
      <c r="W39" s="77">
        <v>0.77329999999999999</v>
      </c>
      <c r="X39" s="77">
        <f t="shared" si="15"/>
        <v>0.77329999999999999</v>
      </c>
      <c r="Y39" s="22" t="s">
        <v>344</v>
      </c>
      <c r="Z39" s="22" t="s">
        <v>336</v>
      </c>
      <c r="AA39" s="46">
        <f t="shared" si="16"/>
        <v>1</v>
      </c>
      <c r="AB39" s="48">
        <f>125/150</f>
        <v>0.83333333333333337</v>
      </c>
      <c r="AC39" s="48">
        <f t="shared" si="12"/>
        <v>0.83333333333333337</v>
      </c>
      <c r="AD39" s="46" t="s">
        <v>345</v>
      </c>
      <c r="AE39" s="46" t="s">
        <v>346</v>
      </c>
      <c r="AF39" s="46">
        <f t="shared" ref="AF39" si="22">N39</f>
        <v>1</v>
      </c>
      <c r="AG39" s="46">
        <v>0.79</v>
      </c>
      <c r="AH39" s="48">
        <f t="shared" ref="AH39" si="23">IF(AG39/AF39&gt;100%,100%,AG39/AF39)</f>
        <v>0.79</v>
      </c>
      <c r="AI39" s="46" t="s">
        <v>347</v>
      </c>
      <c r="AJ39" s="46" t="s">
        <v>348</v>
      </c>
      <c r="AK39" s="46">
        <f t="shared" si="18"/>
        <v>1</v>
      </c>
      <c r="AL39" s="47">
        <f>93/120</f>
        <v>0.77500000000000002</v>
      </c>
      <c r="AM39" s="48">
        <f t="shared" si="13"/>
        <v>0.77500000000000002</v>
      </c>
      <c r="AN39" s="46" t="s">
        <v>349</v>
      </c>
      <c r="AO39" s="46" t="s">
        <v>350</v>
      </c>
      <c r="AP39" s="69">
        <f>P39</f>
        <v>1</v>
      </c>
      <c r="AQ39" s="90">
        <f>AVERAGE(W39,AB39,AG39,AL39)</f>
        <v>0.79290833333333333</v>
      </c>
      <c r="AR39" s="48">
        <f t="shared" si="14"/>
        <v>0.79290833333333333</v>
      </c>
      <c r="AS39" s="65" t="s">
        <v>91</v>
      </c>
    </row>
    <row r="40" spans="1:45" s="5" customFormat="1" ht="15.75">
      <c r="A40" s="10"/>
      <c r="B40" s="10"/>
      <c r="C40" s="10"/>
      <c r="D40" s="10"/>
      <c r="E40" s="11" t="s">
        <v>351</v>
      </c>
      <c r="F40" s="11"/>
      <c r="G40" s="11"/>
      <c r="H40" s="11"/>
      <c r="I40" s="11"/>
      <c r="J40" s="11"/>
      <c r="K40" s="11"/>
      <c r="L40" s="12"/>
      <c r="M40" s="12"/>
      <c r="N40" s="12"/>
      <c r="O40" s="12"/>
      <c r="P40" s="12"/>
      <c r="Q40" s="11"/>
      <c r="R40" s="10"/>
      <c r="S40" s="10"/>
      <c r="T40" s="10"/>
      <c r="U40" s="10"/>
      <c r="V40" s="12"/>
      <c r="W40" s="12"/>
      <c r="X40" s="76">
        <f>AVERAGE(X33:X39)*20%</f>
        <v>0.13097500000000001</v>
      </c>
      <c r="Y40" s="10"/>
      <c r="Z40" s="10"/>
      <c r="AA40" s="12"/>
      <c r="AB40" s="12"/>
      <c r="AC40" s="81">
        <f>AVERAGE(AC33:AC39)*20%</f>
        <v>0.18068133333333333</v>
      </c>
      <c r="AD40" s="10"/>
      <c r="AE40" s="10"/>
      <c r="AF40" s="12"/>
      <c r="AG40" s="12"/>
      <c r="AH40" s="81">
        <f>AVERAGE(AH33:AH39)*20%</f>
        <v>0.18181000000000003</v>
      </c>
      <c r="AI40" s="10"/>
      <c r="AJ40" s="10"/>
      <c r="AK40" s="12"/>
      <c r="AL40" s="12"/>
      <c r="AM40" s="82">
        <f>AVERAGE(AM33:AM39)*20%</f>
        <v>0.167848</v>
      </c>
      <c r="AN40" s="10"/>
      <c r="AO40" s="10"/>
      <c r="AP40" s="71"/>
      <c r="AQ40" s="71"/>
      <c r="AR40" s="91">
        <f>AVERAGE(AR33:AR39)*20%</f>
        <v>0.1670102380952381</v>
      </c>
      <c r="AS40" s="10"/>
    </row>
    <row r="41" spans="1:45" s="9" customFormat="1" ht="18.75">
      <c r="A41" s="6"/>
      <c r="B41" s="6"/>
      <c r="C41" s="6"/>
      <c r="D41" s="6"/>
      <c r="E41" s="7" t="s">
        <v>352</v>
      </c>
      <c r="F41" s="6"/>
      <c r="G41" s="6"/>
      <c r="H41" s="6"/>
      <c r="I41" s="6"/>
      <c r="J41" s="6"/>
      <c r="K41" s="6"/>
      <c r="L41" s="8"/>
      <c r="M41" s="8"/>
      <c r="N41" s="8"/>
      <c r="O41" s="8"/>
      <c r="P41" s="8"/>
      <c r="Q41" s="6"/>
      <c r="R41" s="6"/>
      <c r="S41" s="6"/>
      <c r="T41" s="6"/>
      <c r="U41" s="6"/>
      <c r="V41" s="8"/>
      <c r="W41" s="8"/>
      <c r="X41" s="79">
        <f>X32+X40</f>
        <v>0.67833747065756489</v>
      </c>
      <c r="Y41" s="6"/>
      <c r="Z41" s="6"/>
      <c r="AA41" s="8"/>
      <c r="AB41" s="8"/>
      <c r="AC41" s="83">
        <f>AC32+AC40</f>
        <v>0.5884399425547997</v>
      </c>
      <c r="AD41" s="6"/>
      <c r="AE41" s="6"/>
      <c r="AF41" s="8"/>
      <c r="AG41" s="8"/>
      <c r="AH41" s="83">
        <f>AH32+AH40</f>
        <v>0.78149359849696121</v>
      </c>
      <c r="AI41" s="6"/>
      <c r="AJ41" s="6"/>
      <c r="AK41" s="8"/>
      <c r="AL41" s="8"/>
      <c r="AM41" s="83">
        <f>AM32+AM40</f>
        <v>0.80643291890360014</v>
      </c>
      <c r="AN41" s="6"/>
      <c r="AO41" s="6"/>
      <c r="AP41" s="72"/>
      <c r="AQ41" s="72"/>
      <c r="AR41" s="79">
        <f>AR32+AR40</f>
        <v>0.78114407313205914</v>
      </c>
      <c r="AS41" s="6"/>
    </row>
  </sheetData>
  <mergeCells count="21">
    <mergeCell ref="R13:U14"/>
    <mergeCell ref="F4:K4"/>
    <mergeCell ref="H5:K5"/>
    <mergeCell ref="H6:K6"/>
    <mergeCell ref="H7:K7"/>
    <mergeCell ref="H8:K8"/>
    <mergeCell ref="H9:K9"/>
    <mergeCell ref="H11:K11"/>
    <mergeCell ref="A13:B14"/>
    <mergeCell ref="C13:C15"/>
    <mergeCell ref="A1:K1"/>
    <mergeCell ref="L1:P1"/>
    <mergeCell ref="D13:F14"/>
    <mergeCell ref="G13:Q14"/>
    <mergeCell ref="A2:K2"/>
    <mergeCell ref="H10:K10"/>
    <mergeCell ref="V13:Z14"/>
    <mergeCell ref="AA13:AE14"/>
    <mergeCell ref="AF13:AJ14"/>
    <mergeCell ref="AK13:AO14"/>
    <mergeCell ref="AP13:AS14"/>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F16:F32 F40:F1048576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32</v>
      </c>
    </row>
    <row r="2" spans="1:1">
      <c r="A2" t="s">
        <v>122</v>
      </c>
    </row>
    <row r="3" spans="1:1">
      <c r="A3" t="s">
        <v>57</v>
      </c>
    </row>
    <row r="4" spans="1:1">
      <c r="A4" t="s">
        <v>258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9FC9A537-6340-403E-AE9D-33BDBA51BF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2025-01-31T15:00:00Z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