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 ESTRATEGICO SECTORIAL/CONSOLIDADO/I TRIMESTRE/"/>
    </mc:Choice>
  </mc:AlternateContent>
  <xr:revisionPtr revIDLastSave="379" documentId="14_{B6667DCA-893A-423B-98B1-7206B391E682}" xr6:coauthVersionLast="47" xr6:coauthVersionMax="47" xr10:uidLastSave="{86576AFE-7029-4054-B356-ABD271CF4C50}"/>
  <workbookProtection workbookPassword="E772" lockStructure="1"/>
  <bookViews>
    <workbookView xWindow="-120" yWindow="-120" windowWidth="29040" windowHeight="15840" xr2:uid="{00000000-000D-0000-FFFF-FFFF00000000}"/>
  </bookViews>
  <sheets>
    <sheet name="Hoja1" sheetId="2" r:id="rId1"/>
  </sheets>
  <definedNames>
    <definedName name="_xlnm._FilterDatabase" localSheetId="0" hidden="1">Hoja1!$A$21:$BQ$56</definedName>
    <definedName name="_Hlk77162415" localSheetId="0">#N/A</definedName>
    <definedName name="_Hlk77162500"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4" i="2" l="1"/>
  <c r="AX52" i="2" l="1"/>
  <c r="AX35" i="2"/>
  <c r="AX29" i="2"/>
  <c r="AV49" i="2" l="1"/>
  <c r="AV47" i="2"/>
  <c r="AX46" i="2"/>
  <c r="AV43" i="2"/>
  <c r="AV42" i="2" l="1"/>
  <c r="AX42" i="2" s="1"/>
  <c r="AV23" i="2"/>
  <c r="AX44" i="2"/>
  <c r="AX50" i="2"/>
  <c r="AX45" i="2"/>
  <c r="AX24" i="2"/>
  <c r="AV50" i="2"/>
  <c r="AV48" i="2"/>
  <c r="AV46" i="2"/>
  <c r="AV45" i="2"/>
  <c r="AV44" i="2"/>
  <c r="AV36" i="2"/>
  <c r="AV31" i="2"/>
  <c r="AV24" i="2"/>
  <c r="AU56" i="2"/>
  <c r="AW56" i="2" s="1"/>
  <c r="AX56" i="2" s="1"/>
  <c r="AU55" i="2"/>
  <c r="AW55" i="2" s="1"/>
  <c r="AU54" i="2"/>
  <c r="AW54" i="2" s="1"/>
  <c r="AU53" i="2"/>
  <c r="AW53" i="2" s="1"/>
  <c r="AX53" i="2" s="1"/>
  <c r="AU52" i="2"/>
  <c r="AU50" i="2"/>
  <c r="AU49" i="2"/>
  <c r="AW49" i="2" s="1"/>
  <c r="AX49" i="2" s="1"/>
  <c r="AU48" i="2"/>
  <c r="AU47" i="2"/>
  <c r="AU46" i="2"/>
  <c r="AU45" i="2"/>
  <c r="AU44" i="2"/>
  <c r="AU43" i="2"/>
  <c r="AU42" i="2"/>
  <c r="AU39" i="2"/>
  <c r="AU38" i="2"/>
  <c r="AU37" i="2"/>
  <c r="AU36" i="2"/>
  <c r="AU35" i="2"/>
  <c r="AU34" i="2"/>
  <c r="AU33" i="2"/>
  <c r="AW33" i="2" s="1"/>
  <c r="AX33" i="2" s="1"/>
  <c r="AU32" i="2"/>
  <c r="AU31" i="2"/>
  <c r="AU30" i="2"/>
  <c r="AU29" i="2"/>
  <c r="AW29" i="2" s="1"/>
  <c r="AU28" i="2"/>
  <c r="AW28" i="2" s="1"/>
  <c r="AX28" i="2" s="1"/>
  <c r="AU27" i="2"/>
  <c r="AW27" i="2" s="1"/>
  <c r="AX27" i="2" s="1"/>
  <c r="AU26" i="2"/>
  <c r="AU25" i="2"/>
  <c r="AU24" i="2"/>
  <c r="AU23" i="2"/>
  <c r="AW36" i="2" l="1"/>
  <c r="AX36" i="2" s="1"/>
  <c r="AW50" i="2"/>
  <c r="AW23" i="2"/>
  <c r="AX23" i="2" s="1"/>
  <c r="AX48" i="2"/>
  <c r="AW48" i="2"/>
  <c r="AW44" i="2"/>
  <c r="AW45" i="2"/>
  <c r="AW42" i="2"/>
  <c r="AW46" i="2"/>
  <c r="AW47" i="2"/>
  <c r="AX47" i="2" s="1"/>
  <c r="AW31" i="2"/>
  <c r="AX31" i="2" s="1"/>
  <c r="AW43" i="2"/>
  <c r="AX43" i="2" s="1"/>
  <c r="AV26" i="2"/>
  <c r="AW26" i="2" s="1"/>
  <c r="AV25" i="2"/>
  <c r="AW25" i="2" s="1"/>
  <c r="AQ50" i="2" l="1"/>
  <c r="AT42" i="2" l="1"/>
  <c r="AN39" i="2" l="1"/>
  <c r="AV39" i="2" s="1"/>
  <c r="AW39" i="2" s="1"/>
  <c r="AO22" i="2" l="1"/>
  <c r="AP55" i="2"/>
  <c r="AO54" i="2"/>
  <c r="AO26" i="2"/>
  <c r="AO52" i="2"/>
  <c r="AP52" i="2" s="1"/>
  <c r="AN35" i="2"/>
  <c r="AO35" i="2" s="1"/>
  <c r="AP35" i="2" s="1"/>
  <c r="AP30" i="2"/>
  <c r="AO47" i="2"/>
  <c r="AP47" i="2" s="1"/>
  <c r="AO46" i="2"/>
  <c r="AO45" i="2"/>
  <c r="AO27" i="2"/>
  <c r="AP27" i="2" s="1"/>
  <c r="AP23" i="2"/>
  <c r="AO41" i="2"/>
  <c r="AP56" i="2"/>
  <c r="AP25" i="2"/>
  <c r="AP38" i="2"/>
  <c r="AN34" i="2"/>
  <c r="AO34" i="2" s="1"/>
  <c r="AP34" i="2" s="1"/>
  <c r="AP29" i="2"/>
  <c r="AO33" i="2"/>
  <c r="AP33" i="2" s="1"/>
  <c r="AO29" i="2"/>
  <c r="AK42" i="2"/>
  <c r="AL48" i="2"/>
  <c r="N50" i="2"/>
  <c r="AP50" i="2" s="1"/>
  <c r="N48" i="2"/>
  <c r="AP48" i="2" s="1"/>
  <c r="N46" i="2"/>
  <c r="N45" i="2"/>
  <c r="AP45" i="2" s="1"/>
  <c r="N44" i="2"/>
  <c r="N43" i="2"/>
  <c r="AP43" i="2" s="1"/>
  <c r="N42" i="2"/>
  <c r="AP42" i="2" s="1"/>
  <c r="N41" i="2"/>
  <c r="N31" i="2"/>
  <c r="AP31" i="2" s="1"/>
  <c r="N23" i="2"/>
  <c r="AK27" i="2"/>
  <c r="AO36" i="2"/>
  <c r="AP36" i="2" s="1"/>
  <c r="AJ53" i="2"/>
  <c r="AN53" i="2"/>
  <c r="AO53" i="2" s="1"/>
  <c r="AO32" i="2"/>
  <c r="AP32" i="2" s="1"/>
  <c r="AP22" i="2"/>
  <c r="AM22" i="2"/>
  <c r="AL50" i="2"/>
  <c r="AM49" i="2"/>
  <c r="AO49" i="2" s="1"/>
  <c r="AP49" i="2" s="1"/>
  <c r="AM48" i="2"/>
  <c r="AO48" i="2" s="1"/>
  <c r="AM24" i="2"/>
  <c r="AO24" i="2" s="1"/>
  <c r="AP24" i="2" s="1"/>
  <c r="AM23" i="2"/>
  <c r="AO23" i="2" s="1"/>
  <c r="AL46" i="2"/>
  <c r="AL22" i="2"/>
  <c r="AK47" i="2"/>
  <c r="AL45" i="2"/>
  <c r="AL29" i="2"/>
  <c r="AL23" i="2"/>
  <c r="AO43" i="2"/>
  <c r="AP41" i="2"/>
  <c r="AO31" i="2"/>
  <c r="AO55" i="2"/>
  <c r="AP26" i="2"/>
  <c r="AP54" i="2"/>
  <c r="AP53" i="2" l="1"/>
  <c r="AP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19" authorId="0" shapeId="0" xr:uid="{00000000-0006-0000-0000-000001000000}">
      <text>
        <r>
          <rPr>
            <sz val="12"/>
            <color indexed="81"/>
            <rFont val="Tahoma"/>
            <family val="2"/>
          </rPr>
          <t>Diligencie el año</t>
        </r>
      </text>
    </comment>
    <comment ref="T19" authorId="0" shapeId="0" xr:uid="{00000000-0006-0000-0000-000002000000}">
      <text>
        <r>
          <rPr>
            <sz val="12"/>
            <color indexed="81"/>
            <rFont val="Tahoma"/>
            <family val="2"/>
          </rPr>
          <t>Diligencie el año</t>
        </r>
      </text>
    </comment>
    <comment ref="Y19" authorId="0" shapeId="0" xr:uid="{00000000-0006-0000-0000-000003000000}">
      <text>
        <r>
          <rPr>
            <sz val="12"/>
            <color indexed="81"/>
            <rFont val="Tahoma"/>
            <family val="2"/>
          </rPr>
          <t>Diligencie el año</t>
        </r>
      </text>
    </comment>
    <comment ref="G20"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0" authorId="0" shapeId="0" xr:uid="{00000000-0006-0000-0000-000005000000}">
      <text>
        <r>
          <rPr>
            <b/>
            <sz val="12"/>
            <color indexed="81"/>
            <rFont val="Tahoma"/>
            <family val="2"/>
          </rPr>
          <t>Diligencie la unidad de medida para interpretar el resultado del indicador.
EJ: 
- Porcentaje
- Actividades
- Días</t>
        </r>
      </text>
    </comment>
    <comment ref="I20" authorId="0" shapeId="0" xr:uid="{00000000-0006-0000-0000-000006000000}">
      <text>
        <r>
          <rPr>
            <sz val="12"/>
            <color indexed="81"/>
            <rFont val="Tahoma"/>
            <family val="2"/>
          </rPr>
          <t>Registre la magnitud esperada de la meta para cada vigencia</t>
        </r>
      </text>
    </comment>
    <comment ref="O21" authorId="0" shapeId="0" xr:uid="{00000000-0006-0000-0000-000007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1" authorId="0" shapeId="0" xr:uid="{00000000-0006-0000-0000-000008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1" authorId="0" shapeId="0" xr:uid="{00000000-0006-0000-0000-000009000000}">
      <text>
        <r>
          <rPr>
            <b/>
            <sz val="12"/>
            <color indexed="81"/>
            <rFont val="Tahoma"/>
            <family val="2"/>
          </rPr>
          <t xml:space="preserve">Registe el resultado del indicador, de acuerdo con la formula. 
EJ. 100%
(Que corresponde al porcentaje de ejecución del plan de capacitación)
</t>
        </r>
      </text>
    </comment>
    <comment ref="R21" authorId="0" shapeId="0" xr:uid="{00000000-0006-0000-0000-00000A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1" authorId="0" shapeId="0" xr:uid="{00000000-0006-0000-0000-00000B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1" authorId="0" shapeId="0" xr:uid="{00000000-0006-0000-0000-00000C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1" authorId="0" shapeId="0" xr:uid="{00000000-0006-0000-0000-00000D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1" authorId="0" shapeId="0" xr:uid="{00000000-0006-0000-0000-00000E000000}">
      <text>
        <r>
          <rPr>
            <b/>
            <sz val="12"/>
            <color indexed="81"/>
            <rFont val="Tahoma"/>
            <family val="2"/>
          </rPr>
          <t xml:space="preserve">Registe el resultado del indicador, de acuerdo con la formula. 
EJ. 100%
(Que corresponde al porcentaje de ejecución del plan de capacitación)
</t>
        </r>
      </text>
    </comment>
    <comment ref="W21" authorId="0" shapeId="0" xr:uid="{00000000-0006-0000-0000-00000F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1" authorId="0" shapeId="0" xr:uid="{00000000-0006-0000-0000-000010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1"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1"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1"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1"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1"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1"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1"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1"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1"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1"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1"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1"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1"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1"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1" authorId="0" shapeId="0" xr:uid="{00000000-0006-0000-0000-00001F000000}">
      <text>
        <r>
          <rPr>
            <b/>
            <sz val="12"/>
            <color indexed="81"/>
            <rFont val="Tahoma"/>
            <family val="2"/>
          </rPr>
          <t>Registe el total de la magnitud de la meta programada para el año. 
EJ. 1
(estrategia programada)</t>
        </r>
      </text>
    </comment>
    <comment ref="AN21"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1"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1"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1" authorId="0" shapeId="0" xr:uid="{00000000-0006-0000-0000-000023000000}">
      <text>
        <r>
          <rPr>
            <b/>
            <sz val="12"/>
            <color indexed="81"/>
            <rFont val="Tahoma"/>
            <family val="2"/>
          </rPr>
          <t>Registe el total de la magnitud de la meta programada para el año. 
EJ. 1
(estrategia programada)</t>
        </r>
      </text>
    </comment>
    <comment ref="AR21"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1"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1"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1" authorId="0" shapeId="0" xr:uid="{00000000-0006-0000-0000-000027000000}">
      <text>
        <r>
          <rPr>
            <b/>
            <sz val="12"/>
            <color indexed="81"/>
            <rFont val="Tahoma"/>
            <family val="2"/>
          </rPr>
          <t xml:space="preserve">Registe el total de la magnitud de la meta programada para el año. 
</t>
        </r>
      </text>
    </comment>
    <comment ref="AV21" authorId="0" shapeId="0" xr:uid="{00000000-0006-0000-0000-000028000000}">
      <text>
        <r>
          <rPr>
            <b/>
            <sz val="12"/>
            <color indexed="81"/>
            <rFont val="Tahoma"/>
            <family val="2"/>
          </rPr>
          <t xml:space="preserve">Registre el porcentaje de avance acumulado de la vigencia, respecto a lo programado para la vigencia.
</t>
        </r>
      </text>
    </comment>
    <comment ref="AW21" authorId="0" shapeId="0" xr:uid="{00000000-0006-0000-0000-000029000000}">
      <text>
        <r>
          <rPr>
            <b/>
            <sz val="12"/>
            <color indexed="81"/>
            <rFont val="Tahoma"/>
            <family val="2"/>
          </rPr>
          <t xml:space="preserve">Registre el porcentaje de avance acumulado de la vigencia, respecto a lo programado para la vigencia.
</t>
        </r>
      </text>
    </comment>
    <comment ref="AX21"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1" authorId="0" shapeId="0" xr:uid="{00000000-0006-0000-0000-00002B000000}">
      <text>
        <r>
          <rPr>
            <b/>
            <sz val="12"/>
            <color indexed="81"/>
            <rFont val="Tahoma"/>
            <family val="2"/>
          </rPr>
          <t xml:space="preserve">Registe el total de la magnitud de la meta programada para el año. 
</t>
        </r>
      </text>
    </comment>
    <comment ref="AZ21" authorId="0" shapeId="0" xr:uid="{00000000-0006-0000-0000-00002C000000}">
      <text>
        <r>
          <rPr>
            <b/>
            <sz val="12"/>
            <color indexed="81"/>
            <rFont val="Tahoma"/>
            <family val="2"/>
          </rPr>
          <t xml:space="preserve">Registre el porcentaje de avance acumulado de la vigencia, respecto a lo programado para la vigencia.
</t>
        </r>
      </text>
    </comment>
    <comment ref="BA21" authorId="0" shapeId="0" xr:uid="{00000000-0006-0000-0000-00002D000000}">
      <text>
        <r>
          <rPr>
            <b/>
            <sz val="12"/>
            <color indexed="81"/>
            <rFont val="Tahoma"/>
            <family val="2"/>
          </rPr>
          <t xml:space="preserve">Registre el porcentaje de avance acumulado de la vigencia, respecto a lo programado para la vigencia.
</t>
        </r>
      </text>
    </comment>
    <comment ref="BB21"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6"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6" authorId="1" shapeId="0" xr:uid="{00000000-0006-0000-0000-000030000000}">
      <text>
        <r>
          <rPr>
            <b/>
            <sz val="9"/>
            <color indexed="81"/>
            <rFont val="Tahoma"/>
            <family val="2"/>
          </rPr>
          <t>Esperanza Florián:</t>
        </r>
        <r>
          <rPr>
            <sz val="9"/>
            <color indexed="81"/>
            <rFont val="Tahoma"/>
            <family val="2"/>
          </rPr>
          <t xml:space="preserve">
de 77 a 67</t>
        </r>
      </text>
    </comment>
    <comment ref="L46" authorId="1" shapeId="0" xr:uid="{00000000-0006-0000-0000-000031000000}">
      <text>
        <r>
          <rPr>
            <b/>
            <sz val="9"/>
            <color indexed="81"/>
            <rFont val="Tahoma"/>
            <family val="2"/>
          </rPr>
          <t>Esperanza Florián:</t>
        </r>
        <r>
          <rPr>
            <sz val="9"/>
            <color indexed="81"/>
            <rFont val="Tahoma"/>
            <family val="2"/>
          </rPr>
          <t xml:space="preserve">
de 30 a 50</t>
        </r>
      </text>
    </comment>
    <comment ref="M46" authorId="1" shapeId="0" xr:uid="{00000000-0006-0000-0000-000032000000}">
      <text>
        <r>
          <rPr>
            <b/>
            <sz val="9"/>
            <color indexed="81"/>
            <rFont val="Tahoma"/>
            <family val="2"/>
          </rPr>
          <t>Esperanza Florián:</t>
        </r>
        <r>
          <rPr>
            <sz val="9"/>
            <color indexed="81"/>
            <rFont val="Tahoma"/>
            <family val="2"/>
          </rPr>
          <t xml:space="preserve">
de 52 a 12</t>
        </r>
      </text>
    </comment>
  </commentList>
</comments>
</file>

<file path=xl/sharedStrings.xml><?xml version="1.0" encoding="utf-8"?>
<sst xmlns="http://schemas.openxmlformats.org/spreadsheetml/2006/main" count="485" uniqueCount="271">
  <si>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</si>
  <si>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</si>
  <si>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</si>
  <si>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</si>
  <si>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</si>
  <si>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</si>
  <si>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</si>
  <si>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</si>
  <si>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</si>
  <si>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</si>
  <si>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</si>
  <si>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</si>
  <si>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</si>
  <si>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</si>
  <si>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</si>
  <si>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</si>
  <si>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</si>
  <si>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</si>
  <si>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</si>
  <si>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</si>
  <si>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</si>
  <si>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</si>
  <si>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</si>
  <si>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</si>
  <si>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</si>
  <si>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</si>
  <si>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</si>
  <si>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</si>
  <si>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</si>
  <si>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</si>
  <si>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</si>
  <si>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</si>
  <si>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</si>
  <si>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</si>
  <si>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</si>
  <si>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</si>
  <si>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</si>
  <si>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</si>
  <si>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</si>
  <si>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</si>
  <si>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</si>
  <si>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</si>
  <si>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</si>
  <si>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</si>
  <si>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</si>
  <si>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</si>
  <si>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</si>
  <si>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</si>
  <si>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</si>
  <si>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</si>
  <si>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</si>
  <si>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</si>
  <si>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r>
      <t xml:space="preserve">Objetivo Estratégico 1. </t>
    </r>
    <r>
      <rPr>
        <sz val="16"/>
        <color indexed="8"/>
        <rFont val="Calibri"/>
        <family val="2"/>
      </rPr>
      <t>Realizar acciones enfocadas al fortalecimiento de la gobernabilidad democrática local</t>
    </r>
  </si>
  <si>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</si>
  <si>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</si>
  <si>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</si>
  <si>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</si>
  <si>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</si>
  <si>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</si>
  <si>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</si>
  <si>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 xml:space="preserve">70,57%
</t>
  </si>
  <si>
    <t>72,63%
(proyectada a 30 de sept., de acuerdo coa la línea base ajustada en el 2022)</t>
  </si>
  <si>
    <t xml:space="preserve">N/A
</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</si>
  <si>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</si>
  <si>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</si>
  <si>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</si>
  <si>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</si>
  <si>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</si>
  <si>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</si>
  <si>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</si>
  <si>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</si>
  <si>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</si>
  <si>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</si>
  <si>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</si>
  <si>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r>
      <rPr>
        <b/>
        <sz val="16"/>
        <color indexed="8"/>
        <rFont val="Calibri"/>
        <family val="2"/>
      </rPr>
      <t xml:space="preserve"> Objetivo Estratégico 2.</t>
    </r>
    <r>
      <rPr>
        <sz val="16"/>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</si>
  <si>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</si>
  <si>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</si>
  <si>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</si>
  <si>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</si>
  <si>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</si>
  <si>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</si>
  <si>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</si>
  <si>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</si>
  <si>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</si>
  <si>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</si>
  <si>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</si>
  <si>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</si>
  <si>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</si>
  <si>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</si>
  <si>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</si>
  <si>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</si>
  <si>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</si>
  <si>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</si>
  <si>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</si>
  <si>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</si>
  <si>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</si>
  <si>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</si>
  <si>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</si>
  <si>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</si>
  <si>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</si>
  <si>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</si>
  <si>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</si>
  <si>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</si>
  <si>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</si>
  <si>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</si>
  <si>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</si>
  <si>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</si>
  <si>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r>
      <rPr>
        <b/>
        <sz val="16"/>
        <color indexed="8"/>
        <rFont val="Calibri"/>
        <family val="2"/>
      </rPr>
      <t>Objetivo Estratégico 3.</t>
    </r>
    <r>
      <rPr>
        <sz val="16"/>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</si>
  <si>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</si>
  <si>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</si>
  <si>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</si>
  <si>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</si>
  <si>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</si>
  <si>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</si>
  <si>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</si>
  <si>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</si>
  <si>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</si>
  <si>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</si>
  <si>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</si>
  <si>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</si>
  <si>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</si>
  <si>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</si>
  <si>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</si>
  <si>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</si>
  <si>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r>
      <rPr>
        <b/>
        <sz val="16"/>
        <rFont val="Calibri"/>
        <family val="2"/>
      </rPr>
      <t>Objetivo Estratégico 3.</t>
    </r>
    <r>
      <rPr>
        <sz val="16"/>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</si>
  <si>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t>Lograr la interoperabilidad del 100% de las herramientas tecnológicas de empoderamiento social promovidas por el IDPAC.</t>
  </si>
  <si>
    <t>IDPAC - Secretaría General</t>
  </si>
  <si>
    <t>Herramientas tecnológicas de empoderamiento social promovidas</t>
  </si>
  <si>
    <r>
      <rPr>
        <sz val="12"/>
        <rFont val="Calibri"/>
        <family val="2"/>
      </rPr>
      <t xml:space="preserve">Número de herramientas tecnológicas interoperables / número de herramientas programadas por el IDPAC X 100 </t>
    </r>
  </si>
  <si>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</si>
  <si>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</si>
  <si>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</si>
  <si>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</si>
  <si>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</si>
  <si>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</si>
  <si>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</si>
  <si>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</si>
  <si>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r>
      <rPr>
        <b/>
        <sz val="16"/>
        <color indexed="8"/>
        <rFont val="Calibri"/>
        <family val="2"/>
      </rPr>
      <t>Objetivo Estratégico 4</t>
    </r>
    <r>
      <rPr>
        <sz val="16"/>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</si>
  <si>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</si>
  <si>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</si>
  <si>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</si>
  <si>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</si>
  <si>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</si>
  <si>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</si>
  <si>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</si>
  <si>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</si>
  <si>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</si>
  <si>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</si>
  <si>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</si>
  <si>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t>Implementar acciones de fortalecimiento en capacidades organizativas y democráticas de 42 instancias étnicas.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</si>
  <si>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</si>
  <si>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</si>
  <si>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</si>
  <si>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</si>
  <si>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</si>
  <si>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</si>
  <si>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</si>
  <si>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</si>
  <si>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</si>
  <si>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</si>
  <si>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</si>
  <si>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</si>
  <si>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</si>
  <si>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</si>
  <si>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</si>
  <si>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</si>
  <si>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</si>
  <si>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</si>
  <si>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</si>
  <si>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</si>
  <si>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</si>
  <si>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</si>
  <si>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</si>
  <si>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</si>
  <si>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</si>
  <si>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</si>
  <si>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</si>
  <si>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</si>
  <si>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r>
      <rPr>
        <b/>
        <sz val="16"/>
        <color indexed="8"/>
        <rFont val="Calibri"/>
        <family val="2"/>
      </rPr>
      <t xml:space="preserve">Objetivo 5. </t>
    </r>
    <r>
      <rPr>
        <sz val="16"/>
        <color indexed="8"/>
        <rFont val="Calibri"/>
        <family val="2"/>
      </rPr>
      <t xml:space="preserve"> Crear e implementar una estrategia de articulación sectorial e intersectorial que permita el logro de la misionalidad del sector. </t>
    </r>
  </si>
  <si>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</si>
  <si>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</si>
  <si>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</si>
  <si>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</si>
  <si>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</si>
  <si>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</si>
  <si>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</si>
  <si>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</si>
  <si>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</si>
  <si>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</si>
  <si>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</si>
  <si>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</si>
  <si>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</si>
  <si>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</si>
  <si>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</si>
  <si>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</si>
  <si>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31 de marzo de 2023</t>
  </si>
  <si>
    <t>EJECUCIÓN I TRIMESTRE VIGENCIA 2023</t>
  </si>
  <si>
    <t>EJECUCIÓN II TRIMESTRE VIGENCIA 2023</t>
  </si>
  <si>
    <t>EJECUCIÓN III TRIMESTRE VIGENCIA 2023</t>
  </si>
  <si>
    <t>EJECUCIÓN IV TRIMESTRE VIGENCIA 2023</t>
  </si>
  <si>
    <t xml:space="preserve">Se formaron 3.539 ciudadanos en 52 procesos de formación, 16 en modalidad presencial y 34 en modalidad virtual y 2 en modalidad virtual asistida, los cuales se encuentran programados de acuerdo al plan de formación de la Escuela de la Participación. Dentro de la programación de la Escuela se encuentran cursos como "Cuidado y Protección Animal", "Fútbol y Transformación Social" o "Mujer y Movimiento Social". Se destaca que del total de los ciudadanos formados en el periodo, el 51% corresponde al grupo de mujeres con edades entre los 18 y 27 años. </t>
  </si>
  <si>
    <t>Se implementó un 6% del modelo de fortalecimiento a instancias étnicas. Se realizaron 3 caracterizaciones, 6 planes de fortalecimiento, 1 asistencia técnica y 1 proceso de formación. Se efectuó la convocatoria para 11° y 12° versión de los Premios Benkos Biohó 2022 y 2023. Los galardonados y galardonadas serán reconocidos por su aporte al ámbito social, económico, político, cultural, artístico y educativo en favor de las comunidades Negras y Afrocolombianas de Bogotá.</t>
  </si>
  <si>
    <t>En cuanto a la implementación de la estrategia de articulación territorial como principal impacto en el primer trimestre de la vigencia se destaca la concertación para la formulación de los planes de articulación territorial, definiendo las actividades de acompañamiento, asesoría, asistencia técnica a desarrollar. Se realizó gestión en las localidades mediante la implementación de diversas acciones que permitieron dinamizar temas como: presupuestos participativos, presentación de informes de gestión del indicador concertado con los observatorios ciudadanos locales de la Veeduría Distrital y la presentación del portafolio de servicios de la entidad orientando a más de 400 personas.En el marco de la estrategia innovadora, se avanzó en la formulación de los planes de trabajo de la estrategia de nuevos sujetos y espacios no convencionales de la participación identificados en las localidades priorizadas. Así mismo, se destaca la Casa de las experiencias al vincular niñas y niños de la ciudad en la construcción de las unidades de planeamiento local, en este tema hubo ideas y propuestas que son un insumo importante para el desarrollo social inclusivo.</t>
  </si>
  <si>
    <t>Se firmaron dos pactos denominados Unidos por un  Territorio Libre de Residuos San Felipe (Barrios Unidos) y Niños y Niñas (Distrital). De acuerdo a la metodología, con un avance del 80%, en la fase de "Cocreación", se encuentran 2 pactos. Con un avance del  50%, en fase de "Conocer y Comprender", se encuentran 6 pactos. Adicionalmente, se encuentran otros 3 pactos en fase de "Exploración" y concertación, lo anterior para abordar las diferentes problemáticas locales, interlocales y regionales. Paralelamente, se realiza el seguimiento a las mesas de pactos concretados en vigencias anteriores. beneficiado a 12 1ocalidades, 227 barrios, 42 UPZ, 230 organizaciones comunitarias y  una población de 4.944 personas que a través del seguimiento a 1009 compromisos en temáticas ambientales, de movilidad, de ocupación del espacio público, de infraestructura, construcción de tejido social y poblacional.</t>
  </si>
  <si>
    <t xml:space="preserve"> -Informe Publicaciones Transparencia
- Consolidado Número de Impactos y Seguidores 2023
- Control de Piezas Audiovisuales 2023
- Cronograma Actividades OAC-IDPAC 2020-2024
- Monitoreo de Medios OAC 2023
- Publicaciones Transparencia - GLPI
- Reporte DC Radio</t>
  </si>
  <si>
    <t xml:space="preserve"> -Taller metodológico ERU
-Caja de herramientas - Actividades Marzo
-DEMOCRACY FEST logo
-Election Party - Manuela Beltran
-Informe final _ Empresa de Renovación Urbana
-presentación CORREDOR VERDE
-Epica - Democracy Fest 24.03.23</t>
  </si>
  <si>
    <t xml:space="preserve"> -Indicador Observatorio Implementado Marzo_2023
-Observatorio_febrero</t>
  </si>
  <si>
    <t xml:space="preserve"> -Asistencia Capacitación Mesa de Ayuda - Gestión Tecnologías de la Información
-glpi marzo 2023 Soporte Orfeo
-IDPAC-AM-PT-02  PETI 2023 BORRADOR</t>
  </si>
  <si>
    <t xml:space="preserve"> -Reporte. Procesos de formacion enero - marzo 2023</t>
  </si>
  <si>
    <t xml:space="preserve"> -Premios Benkos Biohó
-Términos de referencia Benkos Biohó 2022 - 2023 
-Planes de Fortalecimiento
-Caracterizaciones
-Formación</t>
  </si>
  <si>
    <t xml:space="preserve"> -Asistetencias Técnicas
-Acta sesión extraordinaria CLJ BOSA
-Plan de Fortalecimiento consejo de juventud Usaquen
-ACTA_ CLJ Puente Aranda</t>
  </si>
  <si>
    <t xml:space="preserve"> -Hoja de Vida Indicador PDD - Fortalecimiento de Medios Comunitarios</t>
  </si>
  <si>
    <t xml:space="preserve"> -Cronograma y anexos con la convocatoria 2023
- Kit Elementos tecnológicos
-Términos de referencia Jóvenes con Iniciativas</t>
  </si>
  <si>
    <t xml:space="preserve"> - Acciones de Fortalecimiento a instancias
- incentivos ETB y JC
- Indicador Propiedad Horizontal - 7685
- Hoja de Vida Indicador PDD - Fortalecimiento de Medios Comunitarios
</t>
  </si>
  <si>
    <t xml:space="preserve"> -Soportes Difusión OSP
-Seguimientos OSP
-Protocolos entrega 36 OSP a la comunidad
-Protocolo de entrega OSP x M SOMOS UNO
-Protocolo de entrega OSP x Convenio JAC La Veracruz - Santafé
-requisitos para la presentacion de propuestas convocatoria osp
-metodologia obras con saldo pedagogico
- Informe de Interventoria No. La Veracruz
- Informe ejecutivo Final OSP misional SOMOS UNO</t>
  </si>
  <si>
    <t xml:space="preserve"> - Plan de trabajo Bibliotecas Comunitarias
- Plan de trabajo Tenderos.
- Informe de Divulgación de espacios de participación 
- Base Población beneficiada
-Actas y actividades de promoción con niñas y niños
- Actas de reunión y ayudas de memoria</t>
  </si>
  <si>
    <t xml:space="preserve"> - Informes Pactos Firmados
-Matriz hitos Pactando
- Pactos cerrados
- Pactos en Construcción
- Pactos Firmados</t>
  </si>
  <si>
    <t>Realizar 335 obras con saldo pedagógico para la participación y el cuidado.</t>
  </si>
  <si>
    <t>Se avanzó en un 6,27% de la implementación de la estrategia de comunicaciones, mediante 112 actividades relacionadas con la emisión de programas de DCTV y DCRADIO, se diseñaron y publicaron 270 piezas gráficas y audiovisuales, se realizaron 27 notas web, 367 publicaciones en redes sociales, y 13 programas de DC Noticias.</t>
  </si>
  <si>
    <t>En el marco de la estrategia de acompañamiento, se actualizó el documento metodológico de la estrategia de asesoría y acompañamiento a Alcaldías Locales y Entidades del Distrito en los procesos de planeación y presupuestos participativos. Así mismo, se realizó una asesoría técnica con las entidades del Distrito en la CIP, en temas de planeación participativa y/o presupuestos participativos. Se realizó una (1) asistencia técnica a entidades del distrito en temas de planeación participativa y/o presupuestos participativos, en el marco de la sesión ordinaria del mes de marzo de la Comisión Intersectorial de Participación en el Distrito Capital. Así mismo, se avanzó en el plan de trabajo para el acompañamiento a cada una de las alcaldías locales.</t>
  </si>
  <si>
    <t xml:space="preserve"> -Estrategias Alcaldías
- Encuesta Ciudadana
- Encuesta CLIP
- Actas de reunión</t>
  </si>
  <si>
    <t>Se implementó la Caja de Herramientas de Particilab en 214 colegios del distrito, beneficiando a 1.424 personas con 256 cajas. Se desarrollaron actividades de promoción de la participación a través de un acompañamiento con la metodología por audiencias a la Empresa de Renovación Urbana en el Corredor Verde. Así mismo, para llevar a cabo el Democracy Fest 2023 se realizaron reuniones para selección del logo del evento y actividades a incluir en el mismo.</t>
  </si>
  <si>
    <t>Se destacan como principales avances:  la depuración de la base de datos del inventario de instancias de participación; la primera versión del informe de seguimiento a las metas de proyecto de inversión a corte de diciembre de 2022; el repositorio digital que incluye bases de datos bibliográficas,; archivo de medios de comunicación sobre protestas en Bogotá, documentos, decretos y políticas sobre participación en el distrito; el primer borrador del balance de programas y políticas de fútbol y participación. Así mismo, se actualizaron los mapas del inventario de instancias de participación.</t>
  </si>
  <si>
    <t>Se avanzó en la implementación de un 6% de la estrategia mediante la presentación del borrador de la actualización del Plan Estratégico de Tecnologías de la Información y las Comunicaciones - PETI - de la entidad, el cual se encuentra actualmente en revisión. Con relación al soporte técnico y funcional a las herramientas tecnológicas de la Entidad, se realizaron 34 soportes por medio de la mesa de ayuda. Así mismo, se reporta la realización de la capacitación correspondiente a la Mesa de Ayuda IDPAC, con una asistencia de 80 personas el día 7 de marzo. En el mes de febrero se realizó la invitación pública al proceso de selección de mínima cuantía No. IP-MC-IDPAC-002-2023, cuyo objeto es: “adquisición de certificados de firma digital requeridos por el IDPAC, para el adecuado cumplimiento de los parámetros de integración y seguridad de la información en la gestión administrativa” en la plataforma SECOP. El comité evaluador determinó ganadora a la propuesta de Camerfirma Colombia SAS y se adjudica el contrato 251 de 2023.</t>
  </si>
  <si>
    <t>Meta cumplida en 2022</t>
  </si>
  <si>
    <t>Se desarrollaron acciones con los Consejos Locales y el Distrital, dentro de las cuales se resaltan la formulación de planes de fortalecimiento y las asistencias técnicas a los Consejos Locales de Juventud del Distrito. La implementación del modelo de fortalecimiento ha permitido generar espacios de asistencia técnica orientados a la construcción Agendas Juveniles; además, se llevó a cabo la construcción del Plan de Fortalecimiento del Consejo Local de Juventud de Puente Aranda en torno a la variable participación en redes asociativas. Se ha logrado impactar un total de 270 jóvenes en las diferentes localidades del distrito.</t>
  </si>
  <si>
    <t>Implementar 310 acciones de fortalecimiento de los medios comunitarios de comunicación alternativa.</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</si>
  <si>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 </t>
  </si>
  <si>
    <t>Se viene adelantando el proceso de iniciativas juveniles planteadas como meta para la vigencia, desarrollando la fase correspondiente al lanzamiento de "Jóvenes con Iniciativa 2023" del Fondo Chikaná (se avanzó en la etapa contractual y se completó la fase de formulación de términos de referencia)  y se dio apertura a la convocatoria el 4 de marzo de 2023. En el periodo de reprogrmación 2023, la meta del indicador para 2023 pasó de 67 a 37 y 2024 pasó de 12 a 25 iniciativas, manteniendo la meta PDD de 250.</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</si>
  <si>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Fontibón.A partir de la caracterización de 122 organizaciones sociales, se ha iniciado la ruta de fortalecimiento a 12 organizaciones sociales, mediante la aplicación del índice, se tiene previsto con este resultado acompañar el desarrollo de las fases de asistencia técnica, plan de acción, formación y entrega de incentivos. Se avanzó en 33 acciones de fortalecimiento a instancias formales y no formales de participación, dentro de las cuales se resaltan la aplicación del instrumento de caracterización, la elaboración del plan de fortalecimiento, la asesoría técnica y los procesos de formación, de acuerdo a las necesidades de cada instancia. Dentro de las necesidades identificadas en las instancias, se destaca la de Formación, por lo que se enfatiza en la divulgación de los cursos ofrecidos por la Escuela de la Participación del IDPAC, así como la realización de un microtaller de conocimientos básicos "PREZI", un taller paso a paso de como se trabaja en plataforma de PREZI y se revisan las opciones de la interfaz. Se realizaron acciones de fortalecimiento, enmarcadas principalmente en la entrega de Incentivos a 31 organizaciones comunales de 1er y 2do grado, instalando puntos de conexión a internet "Punto Ágora", prestación de asistencia técnica y vinculación a la fase de formación de acuerdo al proceso de caracterización y al plan de acción de cada organización. Se adelantaron acciones de acompañamiento a 91 organizaciones de propiedad horizontal, dentro de las cuales se resaltan acciones de asistencia técnica, capacitaciones presenciales en generalidades de la Ley 675/2001 y sobre el Sistema de Seguridad y Salud en el Trabajo. </t>
  </si>
  <si>
    <t>En la estrategia de Obras con Saldo Pedagógico, se entregaron 38 obras a la comunidad. Se intervinieron más de 7 mil metros cuadrados de espacio público y se beneficiaron más de 17 mil personas de las localidades de Usaquén, Chapinero, Santa Fe, San Cristóbal, Usme, Tunjuelito, Kennedy, Engativá, Suba, Barrios Unidos, Rafael Uribe Uribe y Ciudad Bolívar. Las intervenciones en obras menores consistieron principalmente en recuperación del espacio público, construcción de senderos peatonales, embellecimiento de zonas verdes y mantenimiento de la dotación de parques. Se avanzó en un 66% de las diferentes etapas de la metodología en las obras restantes. Nota: En el primer trimestre del 2023 se incrementa la meta del 2023 de 15 a 152, incrementando la meta PDD de 290 a 335, producto de la adición y prórroga al convenio interadministrativo con la Secretaría Distrital de Hábitat.</t>
  </si>
  <si>
    <t>En el primer trimestre de 2023 se desarrollaron los avances en las siguientes investigaciones: 
1. Investigación de Género y Espacio Público: Se realizó proceso de validación de batería de indicadores con poblaciones focales y se actualizó según la matriz.
2. Investigación Indicador de Estructura Ecológica Principal: Se desarrolló la matriz base de indicadores con las variables POT y otros dos modelos para determinar la validación de variables del indicador.
3. Investigación Espacio Público Inteligente: Se adelantó la matriz de prototipo de variables para el indicador e igualmente la matriz de variables por entidades responsables para solicitar información.
4. Investigación Indicadores Cualitativos: Se desarrolló el documento ABC de indicadores cualitativos, las memorias del seminario internacional de indicadores cualitativos y la matriz para solicitud de información a entidades.</t>
  </si>
  <si>
    <t>Se anexan:
Evidencia_1_Meta_07_Acta_Indcadores_Mujer
Evidencia_2_Meta_07_Indicador_Estructura_Ecológica
Evidencia_3_Meta_07_E.P_Inteligente
Evidencia_4_Meta_07_Reporte_Indicadores_E.P</t>
  </si>
  <si>
    <t>Meta programada a desarrollar en el 4 trimestre de 2023, teniendo en cuenta que la ultima actualización se realizó con la versión 4 de la Caracterización vigente desde: 12-10-2022 .</t>
  </si>
  <si>
    <t>Meta_8_Matriz de caracterización de actores y grupos de valor DADEP</t>
  </si>
  <si>
    <t>Se realizaron las siguientes publicaciones durante el primer trimestre de 2023:
- Avanza con éxito puesta en marcha del Visor Geográfico del Espacio Público de Bogotá.
- Informe trimestral del Observatorio.
- Conocer el Visor Geográfico del Espacio Público, una herramienta digital que te ayudará a explorar los predios y sus entornos en Bogotá</t>
  </si>
  <si>
    <t>Se anexa:
Evidencia_Meta_12_Publicaciones_E.P</t>
  </si>
  <si>
    <t>1. Informe de desarrollo SIDEP - Generador de reportes 2023.                     2. Informe de Pruebas Reporteador - SIDEP.           3.Despliegue Reporteador - SIDEP</t>
  </si>
  <si>
    <t>Actualmente se viene recopilado la información del ITB, con fecha maxima 26 de abril. Por lo tanto, el avance de la Meta programada en la vigencia 2023 depende del resultado que arrogue la evaluación y la fecha de entrega del informe.</t>
  </si>
  <si>
    <t>Meta programada para ejecutar en el cuarto trimestre de la vigencia 2023,  teniendo en cuenta la programación del Departamento Administrativo de la Función Pública para realizar el reporte del FURAG de la vigencia anterior .</t>
  </si>
  <si>
    <t>Meta cumplida en el año 2022.</t>
  </si>
  <si>
    <t>El avance durante el 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contribuyen a la determinación de acciones a incluir en la estrategia que articula las regulaciones de esta actividad económica. 
En este sentido durante los meses de enero, febrero y marzo se realizaron 8 reuniones, las cuales se relacionan y explicitan en el documento de soporte adjunto.</t>
  </si>
  <si>
    <t>Se anexa:
Evidencia_Meta_29_Reuniones_y_Mesas_de_Trabajo</t>
  </si>
  <si>
    <t>Se anexa:
Evidencia_Meta_30_Informe_Hitos</t>
  </si>
  <si>
    <t>Meta cumplida en la vigencia 2022</t>
  </si>
  <si>
    <t>La Defensoría del Espacio Público, tendrá como meta mejorar la interoperabilidad del Sistema de Información de la Defensoría del Espacio Público – SIDEP, para lo cual el primer trimestre de la 2023, ha cumplido con los siguientes hitos:
1.	Diseño del nuevo módulo de Generación de Reportes, utilizando un motor para la generación de reportes separado del sistema del principal, desarrollado con el lenguaje de programación Python que permita independizar el procesamiento de los reportes, independientemente del tamaño y carga que requiera a la base de datos.
2.	Desarrolló el módulo de generación automática de reportes que permite crear nuevas plantillas de reportes a futuro incluyendo parámetros seleccionables para los usuarios.
3. 	  Se realizó el despliegue de los módulos antes mencionados en el SIDEP.</t>
  </si>
  <si>
    <t xml:space="preserve">Avances durante el primer trimestre:
Hitos 1 y 6: Investigación Espacio Público con enfoque de mujer y género: Se realizó la revisión de la batería de indicadores en mesa técnica y trabajo documental con el acompañamiento de la Secretaria Distrital de la Mujer y el Laboratorio de Innovación del DADEP.
Hito 2: No se ha requerido en el período activar la CIEP, sin embargo, si se llevará a cabo allí la socialización del avance del nuevo plan de acción de la Política Pública de Espacio Público, una vez recolectada la información del primer trimestre de implementación.   
Hito 3 y 4: Para el desarrollo e implementación de la herramienta de seguimiento y evaluación cuantitativa y cualitativa de la PPDEP, se comenzará la implementación  a partir del primer trimestre de 2023, dado que la aprobación de la modificación al plan de acción de la PPDEP se aprobó en sesión CONPES en diciembre del año 2022. El nuevo instrumento fue orientado por la Secretaria Distrital de Planeación del cual se realizó socialización en reunión con las entidades participantes de la PDEP en día 30 de marzo en la casa de espacio público.
Hito 5: Se realizó alianza con la Universidad Distrital para el desarrollo del evento de lanzamiento y socialización del DASH BOARD de la batería de indicadores del DADEP.
Hito 7: Se realizó la solicitud de reporte del IV semestre de 2022 y se realizó la socialización del nuevo plan de acción de la PDEP a las entidades el día 30 de marzo de 2023. 
De acuerdo con el desarrollo de los Hitos para el primer trimestre a 31 de marzo de 2023 se alcanzó un porcentaje de avance de 0,95 respecto a las acciones programadas (7 hitos), que corresponden al 14% de avance de la vigencia. 
</t>
  </si>
  <si>
    <t xml:space="preserve"> (01) un informe de gobernabilidad
 (38) treinta y ocho infornes de conflictividad social
(02) actas de capacitación </t>
  </si>
  <si>
    <t>En la línea INSPIRA, se construye el borrador de “instructivo de creación de laboratorios locales” dirigido a brindar insumos a las Alcaldías Locales en la formulación de lineamientos y orientaciones para la creación de unidades de innovación que potencien la gestión eficiente y participativa en las localidades.
En la línea REPIENSA, en el marco de la RED INNOVA como plataforma de identificación de retos de innovación, se instala la primera Mesa Técnica de la Red con la cual se instaló la articulación con las Alcaldías Locales en impulso a las iniciativas de innovación que den solución a desafíos públicos de orden distrital y local liderados por el nivel local como por GOLAB.
En la línea de acción TIC LOCAL, se llevó a cabo la firma simbólica de convenio en la Localidad de Bosa y Rafael Uribe Uribe, cuyo objetivo es cerrar la brecha digital en personas mayores a través del fortalecimiento de sus habilidades comunicativas. El convenio se realiza en apoyo con la Universidad Nacional de Colombia.
En la línea CONECTA, bajo el amparo de fortalecer el ciclo de innovación a grupos de valor externos de la SDG, se implementa la línea de acción en DISCAPACIDAD, para lo cual se diseñó y concertó la estrategia de socialización en localidades de la política pública de discapacidad con la Secretaria Técnica de Discapacidad. (Anexo: PPT estrategia discapacidad).
En la línea LABORATORIOS CÍVICOS, se hizo evaluación y análisis de la implementación de la metodología facilitadora de los laboratorios cívicos en el marco del proceso de presupuestos participativos en la ciudad. Se llevaron a cabo tres reuniones con IDPAC, iBO y el equipo de participación de la SDG para evaluar y proyectar ajustes en la metodología. El proceso permitió formular un primer diseño de ajuste a la metodología, que se testeó internamente para identificar su pertinencia y las barreras a superar.</t>
  </si>
  <si>
    <t>Reto 1. TIC LOCAL. Presentación y avance del Convenio LAB101 UNAL con Bosa y Rafael Uribe Uribe
Reto 2. Proyección de modelo de construcción de la Guía de Laboratorios Cívicos.
Reto 3. Concertación Mesa Técnica de Innovación REDINNOVA LOCAL
Reto 4. Propuesta metodológica de Discapacidad
Reto 5. Proyección de modelo del Instructivo para Laboratorios Locales</t>
  </si>
  <si>
    <t xml:space="preserve">Durante el primer trimestre del año 2023, fue consolidada la información de Causas Ciudadanas 2022. La construcción de estas base de datos es el fundamento para la estructuración del informe de evaluación de la estrategia de participación ciudadana en su segunda edición. Estas cifras, se comparan con las del año 2021 para establecer el impacto de las innovaciones introducidas en su versión más reciente. 
Finalmente, apoyada en su rol de acompañamiento y seguimiento a la implementación de las iniciativas ganadoras de Causas Ciudadanas 2022, se viene realizando monitoreo a los procesos de materialización por medio de reuniones de seguimiento al proceso, informando a cabezas de las entidades competentes y asistiendo a las mesas de trabajo entre estas, o sus delegados, y los creadores de las propuestas elegidas.
En el marco de las disposiciones normativas según el Decreto Distrital 768, la Secretaría Distrital de Gobierno, en articulación con la Secretaría de Planeación Distrital y el IDPAC, desarrollaron, han desarrollado las acciones pertinentes para el ajuste a la ruta metodológica de implementación de los Presupuestos Participativos Fase 2 para la vigencia 2023. Lo anterior refiere a: I) Desarrollo de un proceso de evaluación con los actores claves del proceso para la identificación de avances y oportunidades de mejora y ii) Construcción del documento en versión borrador de la ruta metodológica de imlementación de los presupuestos participativos que deberá ser socializado con los acotres de interes para su retroalimentación. </t>
  </si>
  <si>
    <t>•Base de datos Causas Ciudadanas.
•Matriz de seguimiento.
•Oficios de convocatoria a reuniones. 
Presupuestos Participativos: 
1. Documento de evaluación de la Fase 2 de los Presupuestos Participativos
2. Documento en versión borrador a ser socializado y retroalimentado por los actores que participan en el proceso.</t>
  </si>
  <si>
    <t xml:space="preserve">POLÍTICA PÚBLICA INTEGRAL DE DERECHOS HUMANOS 
Con relación a los reportes de seguimiento para el primer trimestre se avanzó en el trámite y envío de solicitud de reporte a los sectores con productos comprometidos en la política pública. Las entidades con productos a cargo dentro de la Política Pública Integral de DDHH deberán entregar la información durante la primera semana del mes de abril, la cual se consolidará como reporte de implementación.  
 En el ejercicio de seguimiento a la implementación de la PPDDHH se realizó el 23 de marzo de 2023 la primera sesión del Comité Distrital de Derechos Humanos, en la que se presentó un balance general de cumplimiento a los planes de acción de las Acciones Afirmativas a cargo de la Direción de Asunto Etnicos y se socializó el plan de trabajo anual de la instancia. 
Asimismo, la Dirección de Derechos Humanos de la Secretaría Distrital de Gobierno a partir de su competencia como líder de la Política Pública Integral de Derechos Humanos, presentó en diciembre ante el CONPES los ajustes al plan de acción de dicha política y actualmente se está a la espera de la firma del acta del CONPES para hacer oficial los cambios al plan de acción de la política. </t>
  </si>
  <si>
    <t>1. Oficios solicitud primer reporte plan de acción PPDDHH
2. Documento de recomendaciones para el diligenciamiento de la matriz del Plan de Acción PPDDHH.
3. Acta del Comité Distrital de DDHH.
4. Informe de instancia de coordinación del Comité de DDHH.</t>
  </si>
  <si>
    <t>No programada</t>
  </si>
  <si>
    <t xml:space="preserve">No programada </t>
  </si>
  <si>
    <t xml:space="preserve">POLÍTICA PÚBLICA DE LUCHA CONTRA LA TRATA DE PERSONAS
Con relación a los reportes de seguimiento para el primer trimestre se avanzó en el trámite y envío de solicitud de reporte a los sectores con productos comprometidos en la política pública. Las entidades con productos a cargo dentro de la Política Pública Lucha Contra la Trata de Personas deberán entregar la información durante la primera semana del mes de abril, la cual se consolidará como reporte de implementación.  
 En el ejercicio de seguimiento a la implementación de la PPDDHH se realizó el 28 de marzo de 2023 la primera sesión del Comité de Lucha Contra la Trata de Personas, en la que se presentó en el desarrollo de la sesión los siguientes temas: Desarrollo Orden del día 4.1 Presentación Propuesta de Acciones 2023 4.2 Varios: i) Acuerdos Mesas Técnicas </t>
  </si>
  <si>
    <t>1. Oficios solicitud primer reporte plan de acción PPLCTP
2. Documento de recomendaciones para el diligenciamiento de la matriz del Plan de Acción PPLCTP.
3. Acta del Comité Lucha Contra la Trata de Personas.</t>
  </si>
  <si>
    <t>Durante el primer trimestre, el Observatorio de Conflcitividad Social  ha logrado desarrollar 42 documentos distribuidos de la siguiente manera:  un (1) informe de gobernabilidad y tendencia en redes, donde se registraron la totalidad, a corte de 28 de febrero, las movilizaciones sociales acompañadas por el equipo de la línea de protestas de la DCDS, de igual forma, se monitorearon las principales problemáticas sociales en la ciudad, puestas en la agenda pública por medio de la revisión de prensa y redes sociales; treinta y ocho (38) informes o documentos en materia de conflictividad social, cumpliendo así, el 100% del indicador hasta la fecha. Estos informes se dividen en documentos de la línea de protesta social y la línea de profundización. Frente a la línea de protesta se han producido veinte (20) documentos discriminados en siete (7) informes de balance de posmovilización, seis (6) Resumen de Contexto Semanal de Movilizaciones y Eventos, cuatro (4) resúmenes de movilización social y tres (3) informes de contexto de movilizaciones. Para la línea de profundización se entregaron doce (12) informes de línea base por sector, cuatro (4) fichas de conflictividades por localidad y dos (2) informes especiales de disposición inadecuada de residuos y carretismo en Bogotá.
Dentro del proceso de caracterización de actores Sociales se desarrollaron dos (2) jornadas de capacitación a los equipos para la recolección de información, posteriormente se aplicó el instrumento en los diferentes escenarios de acompañamiento y finalmente, se han logrado caracterizar y validar treinta (30) actores sociales que promueven el diálogo, la convivencia y los DDHH y/o que inciden directa o indirectamente en la conflictividad social en la ciudad.</t>
  </si>
  <si>
    <t>Durante el primer trimestre del año, se trabajó y avanzó en la definición del tema pertinente para la Secretaría Distrital de Gobierno para construir el documento de análisis de actores políticos 2023.
En primera instancia, se realizó una reunión con el director de Relaciones Políticas para recoger sus recomendaciones, lineamientos y sugerencias de temas para este documento de análisis. Basados en estos insumos, se procedió a construir unas propuestas temáticas iniciales sobre las líneas de investigación pendientes por desarrollar.
A partir de esta primera base de temáticas posibles, se realizó un trabajo de depuración y complementación de propuestas temáticas en conjunto con los integrantes del Observatorio de Asuntos Políticos. En total, se definieron tres posibles temas para el documento de actores políticos, cada uno asociado a una línea de investigación diferente. Gobernabilidad, calidad de la democracia y accountability social.
Las propuestas temáticas que resultaron del ejercicio anterior fueron presentadas al Secretario Distrital de Gobierno y al Director de Relaciones Políticas en reunión realizada el 27 de marzo de 2023</t>
  </si>
  <si>
    <t>Reporte de avance</t>
  </si>
  <si>
    <t>De acuerdo con la metodología definida por MINTIC y a su iniciativa sello de excelencia, se creó la estrategia sectorial alineada con el modelo gobierno abierto Bogotá, la cual tiene como objetivo principal lograr para las tres entidades del sector (IDPAC, DADEP y Secretaría de Gobierno) el sello de excelencia en la categoría de datos abiertos nivel 1, por lo cual se realizaron las siguientes actividades:
1- Identificación de los sets de datos, candidatos para conformar el inventario de datos abiertos
2- Con base al inventario conformado, selección de los sets de datos, de acuerdo con los criterios establecidos para datos abiertos.
3- Mesas de trabajo con las dependencias dueñas de la información, para la entrega de los sets de datos que serán publicados.
4- Preparación técnica y legal de los sets de datos.
5- Publicación de los conjuntos de datos, en el portal de datos abiertos del distrito.
Logros
Publicación de seis conjuntos de datos abiertos, en el portal del distrito:
1- Conjuntos residenciales y cerrados de Bogotá
2- Beneficiaros Microempresa Local 2022
3- Trazabilidad de Expedientes Tramitados
4- Inscritos microempresa local
5- Inscritos microempresa local
6- Caracterización de usuarios en espacios de atención diferenciada – EAD.</t>
  </si>
  <si>
    <t>Informe de avance</t>
  </si>
  <si>
    <t>Se realizó la preparación del Consejo de Gobierno Distrital realizado en el mes de enero 2023, con las entidades del Sector Gobierno, de acuerdo con las directrices de la Alcaldía Mayor de Bogotá.</t>
  </si>
  <si>
    <t>Soporte Presentación Sector Gobierno</t>
  </si>
  <si>
    <t xml:space="preserve">Informe trimestral avance meta proyecto 9 desarrollar 100 por ciento de las acciones de la política pública de transparencia, integridad y no tolerancia con la corrupción con aplicación en el nivel central y local de la SDG
</t>
  </si>
  <si>
    <t>Se adjunta archivo en Microsoft Word del Informe trimestral  acciones de la política pública de transparencia, integridad y no tolerancia con la corrupción con aplicación en el nivel central y local de la SDG</t>
  </si>
  <si>
    <t xml:space="preserve">Durante el primer trimestre de 2023 no se tiene programado la presentacion del informe de  avance cuantitativo del I trimestre del IGPL 2023,puesto que los insumos y datos necesarios para hacer posible el informe de avance se consolidaran en el mes de abril de 2023 de acuerdo, con los tiempos de respuesta de la Secretaría Distrital de Planeación  entidad competente en la realizacion del seguimiento local de los planes de desarrollo locales a fin de calcular el indicador PEFM local. Sin embargo, para los resultados de la gestión local correspondiente a los meses de octubre, noviembre y diciembre de 2022 se consolidó el reporte de los nueve (9) indicadores que componen el Indice de Gestión Pública Local - IGPL con corte al 31 de diciembre del 2022 realizando la comparacion con las vigencias precedentes 2020,2021.
De igual manera, se solicitaron los insumos correspondientes para consolidar  los porcentajes de avance en los seis (6) indicadores con periodicidad de reporte vigente con corte a 31 de enero, 28 de febrero y 31 de marzo de 2023 para consolidar los indicadores PEP, PEG, POP, PEPAC,PDAA, PAPF y PPQRC, en la matriz de seguimiento del IGPL creada y formulada para los datos del 2023.
</t>
  </si>
  <si>
    <t>Informe IGPL a 31 de Diciembre 2022, vigencias 2022-2021-2020.
Libro en excel de seguimiento IGPL 2020.
Libro en excel de seguimiento IGPL 2021.
Libro en excel de seguimiento IGPL 2022.
Correos electronicos solicitando cierre MUSI 2022.
Correos electronicos solicitando cierre presupuestal 2022.
Correos electronicos solicitando cierre presupuestal  primer  trimestre de 2023.
Correo electronico solicitando PAC de los FDL para vigencia 2023.
Correos electronicos solicitando los insumos para medir los indicadores de atencion a la ciudadanía: Disminución de Actuaciones Administrativas, Actuaciones de Policía Falladas y  PQR Contestadas por cada alcaldía local para el I trimeste de 2023.
Insumos PAC programado y ejecutado en los FDL descargados en archivo Excel de la Pagina de la Secretaria Distrital de Hacienda para el IV trimestre de 2022.</t>
  </si>
  <si>
    <t xml:space="preserve">Se consolida el seguimiento al Plan Estratégico Sectorial correspondiente al primer trimestre de 2023. En la meta No. 22 se incrementa la magnitud tal de 300 a 310 y la magnitud de la vigencia 2023 de de 130 a 140 organizaciones de medios comunitarios acompañados y se modifica la programación de la meta No. 23 y 25 para los años 2023 y 2024, de acuerdo con la comunicación de IDPAC. Se aumenta la magnitud de las metas No. 4, 5 y 31 para la vigencia 2023, de acuerdo con la comunicación de la Subsecretaría para la Gobernabilidad y Garantía de Derechos de la SDG. </t>
  </si>
  <si>
    <t>26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</si>
</sst>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0"/>
    <numFmt numFmtId="167" formatCode="0.000"/>
    <numFmt numFmtId="168" formatCode="_-* #,##0_-;\-* #,##0_-;_-* &quot;-&quot;??_-;_-@_-"/>
    <numFmt numFmtId="169" formatCode="#,##0_ ;\-#,##0\ "/>
  </numFmts>
  <fonts count="6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4"/>
      <name val="Calibri"/>
      <family val="2"/>
    </font>
    <font>
      <sz val="12"/>
      <name val="Calibri"/>
      <family val="2"/>
    </font>
    <font>
      <sz val="12"/>
      <color indexed="81"/>
      <name val="Tahoma"/>
      <family val="2"/>
    </font>
    <font>
      <b/>
      <sz val="12"/>
      <color indexed="81"/>
      <name val="Tahoma"/>
      <family val="2"/>
    </font>
    <font>
      <sz val="16"/>
      <color indexed="8"/>
      <name val="Calibri"/>
      <family val="2"/>
    </font>
    <font>
      <b/>
      <sz val="16"/>
      <color indexed="8"/>
      <name val="Calibri"/>
      <family val="2"/>
    </font>
    <font>
      <b/>
      <sz val="9"/>
      <color indexed="81"/>
      <name val="Tahoma"/>
      <family val="2"/>
    </font>
    <font>
      <b/>
      <sz val="16"/>
      <name val="Calibri"/>
      <family val="2"/>
    </font>
    <font>
      <sz val="16"/>
      <name val="Calibri"/>
      <family val="2"/>
    </font>
    <font>
      <sz val="20"/>
      <name val="Calibri"/>
      <family val="2"/>
    </font>
    <font>
      <sz val="12"/>
      <color theme="1"/>
      <name val="Calibri"/>
      <family val="2"/>
      <scheme val="minor"/>
    </font>
    <font>
      <sz val="12"/>
      <color rgb="FF006100"/>
      <name val="Calibri"/>
      <family val="2"/>
      <scheme val="minor"/>
    </font>
    <font>
      <sz val="12"/>
      <color theme="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sz val="12"/>
      <color rgb="FFFF0000"/>
      <name val="Calibri"/>
      <family val="2"/>
      <scheme val="minor"/>
    </font>
    <font>
      <sz val="12"/>
      <name val="Calibri"/>
      <family val="2"/>
      <scheme val="minor"/>
    </font>
    <font>
      <sz val="12"/>
      <color rgb="FF00B0F0"/>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4"/>
      <color rgb="FFFF0000"/>
      <name val="Calibri"/>
      <family val="2"/>
    </font>
    <font>
      <sz val="14"/>
      <color theme="1"/>
      <name val="Calibri"/>
      <family val="2"/>
    </font>
    <font>
      <sz val="12"/>
      <color rgb="FF000000"/>
      <name val="Calibri"/>
      <family val="2"/>
      <scheme val="minor"/>
    </font>
    <font>
      <sz val="11"/>
      <color rgb="FFFF0000"/>
      <name val="Calibri"/>
      <family val="2"/>
      <scheme val="minor"/>
    </font>
    <font>
      <sz val="12"/>
      <color rgb="FFFF0000"/>
      <name val="Calibri"/>
      <family val="2"/>
    </font>
    <font>
      <sz val="22"/>
      <color theme="1"/>
      <name val="Calibri"/>
      <family val="2"/>
    </font>
    <font>
      <sz val="14"/>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
      <sz val="16"/>
      <color indexed="8"/>
      <name val="Calibri"/>
      <family val="2"/>
      <scheme val="minor"/>
    </font>
    <font>
      <sz val="11"/>
      <color rgb="FF000000"/>
      <name val="Calibri"/>
      <family val="2"/>
    </font>
    <font>
      <sz val="12"/>
      <color rgb="FF00000A"/>
      <name val="Calibri"/>
      <family val="2"/>
      <scheme val="minor"/>
    </font>
    <font>
      <b/>
      <sz val="48"/>
      <name val="Calibri"/>
      <family val="2"/>
      <scheme val="minor"/>
    </font>
    <font>
      <sz val="11"/>
      <color rgb="FF000000"/>
      <name val="Calibri Light"/>
      <family val="2"/>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style="thin">
        <color indexed="64"/>
      </bottom>
      <diagonal/>
    </border>
  </borders>
  <cellStyleXfs count="10">
    <xf numFmtId="0" fontId="0" fillId="0" borderId="0"/>
    <xf numFmtId="0" fontId="23" fillId="3" borderId="0" applyNumberFormat="0" applyBorder="0" applyAlignment="0" applyProtection="0"/>
    <xf numFmtId="0" fontId="25" fillId="4" borderId="3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43" fontId="22" fillId="0" borderId="0" applyFont="0" applyFill="0" applyBorder="0" applyAlignment="0" applyProtection="0"/>
    <xf numFmtId="0" fontId="5" fillId="0" borderId="0"/>
    <xf numFmtId="0" fontId="22" fillId="0" borderId="0"/>
    <xf numFmtId="9" fontId="22" fillId="0" borderId="0" applyFont="0" applyFill="0" applyBorder="0" applyAlignment="0" applyProtection="0"/>
  </cellStyleXfs>
  <cellXfs count="415">
    <xf numFmtId="0" fontId="0" fillId="0" borderId="0" xfId="0"/>
    <xf numFmtId="0" fontId="29" fillId="0" borderId="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hidden="1"/>
    </xf>
    <xf numFmtId="0" fontId="29" fillId="0" borderId="3"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9" fontId="22" fillId="0" borderId="6" xfId="9" applyFont="1" applyFill="1" applyBorder="1" applyAlignment="1" applyProtection="1">
      <alignment horizontal="center" vertical="center" wrapText="1"/>
      <protection hidden="1"/>
    </xf>
    <xf numFmtId="9" fontId="22" fillId="0" borderId="7" xfId="9" applyFont="1" applyFill="1" applyBorder="1" applyAlignment="1" applyProtection="1">
      <alignment horizontal="center" vertical="center" wrapText="1"/>
      <protection hidden="1"/>
    </xf>
    <xf numFmtId="9" fontId="22" fillId="0" borderId="8" xfId="9" applyFont="1" applyFill="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hidden="1"/>
    </xf>
    <xf numFmtId="0" fontId="24" fillId="0" borderId="3" xfId="0" applyFont="1"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1"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9" fontId="29" fillId="0" borderId="9" xfId="0" applyNumberFormat="1" applyFont="1" applyBorder="1" applyAlignment="1" applyProtection="1">
      <alignment horizontal="center" vertical="center" wrapText="1"/>
      <protection hidden="1"/>
    </xf>
    <xf numFmtId="9" fontId="29" fillId="0" borderId="1" xfId="0" applyNumberFormat="1" applyFont="1" applyBorder="1" applyAlignment="1" applyProtection="1">
      <alignment horizontal="center" vertical="center" wrapText="1"/>
      <protection hidden="1"/>
    </xf>
    <xf numFmtId="9" fontId="29" fillId="0" borderId="3" xfId="0" applyNumberFormat="1" applyFont="1" applyBorder="1" applyAlignment="1" applyProtection="1">
      <alignment horizontal="center" vertical="center" wrapText="1"/>
      <protection hidden="1"/>
    </xf>
    <xf numFmtId="9" fontId="30" fillId="0" borderId="9" xfId="9" applyFont="1" applyFill="1" applyBorder="1" applyAlignment="1" applyProtection="1">
      <alignment horizontal="center" vertical="center" wrapText="1"/>
      <protection hidden="1"/>
    </xf>
    <xf numFmtId="9" fontId="30" fillId="0" borderId="1" xfId="9" applyFont="1" applyFill="1" applyBorder="1" applyAlignment="1" applyProtection="1">
      <alignment horizontal="center" vertical="center" wrapText="1"/>
      <protection hidden="1"/>
    </xf>
    <xf numFmtId="9" fontId="30" fillId="0" borderId="3" xfId="9" applyFont="1" applyFill="1" applyBorder="1" applyAlignment="1" applyProtection="1">
      <alignment horizontal="center" vertical="center" wrapText="1"/>
      <protection hidden="1"/>
    </xf>
    <xf numFmtId="9" fontId="0" fillId="0" borderId="9"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9" fontId="0" fillId="0" borderId="3" xfId="0" applyNumberFormat="1" applyBorder="1" applyAlignment="1" applyProtection="1">
      <alignment horizontal="center" vertical="center" wrapText="1"/>
      <protection hidden="1"/>
    </xf>
    <xf numFmtId="9" fontId="22" fillId="0" borderId="9" xfId="9" applyFont="1" applyFill="1" applyBorder="1" applyAlignment="1" applyProtection="1">
      <alignment horizontal="center" vertical="center" wrapText="1"/>
      <protection hidden="1"/>
    </xf>
    <xf numFmtId="9" fontId="22" fillId="0" borderId="3" xfId="9" applyFont="1" applyFill="1" applyBorder="1" applyAlignment="1" applyProtection="1">
      <alignment horizontal="center" vertical="center" wrapText="1"/>
      <protection hidden="1"/>
    </xf>
    <xf numFmtId="9" fontId="30" fillId="0" borderId="9" xfId="0" applyNumberFormat="1" applyFont="1" applyBorder="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hidden="1"/>
    </xf>
    <xf numFmtId="9" fontId="30" fillId="0" borderId="3" xfId="0" applyNumberFormat="1" applyFont="1" applyBorder="1" applyAlignment="1" applyProtection="1">
      <alignment horizontal="center" vertical="center" wrapText="1"/>
      <protection hidden="1"/>
    </xf>
    <xf numFmtId="10" fontId="0" fillId="0" borderId="9" xfId="0" applyNumberFormat="1" applyBorder="1" applyAlignment="1" applyProtection="1">
      <alignment horizontal="center" vertical="center" wrapText="1"/>
      <protection hidden="1"/>
    </xf>
    <xf numFmtId="10" fontId="0" fillId="0" borderId="1" xfId="0" applyNumberFormat="1" applyBorder="1" applyAlignment="1" applyProtection="1">
      <alignment horizontal="center" vertical="center" wrapText="1"/>
      <protection hidden="1"/>
    </xf>
    <xf numFmtId="10" fontId="0" fillId="0" borderId="3" xfId="0" applyNumberFormat="1" applyBorder="1" applyAlignment="1" applyProtection="1">
      <alignment horizontal="center" vertical="center" wrapText="1"/>
      <protection hidden="1"/>
    </xf>
    <xf numFmtId="164" fontId="22" fillId="0" borderId="9" xfId="9" applyNumberFormat="1" applyFont="1" applyFill="1" applyBorder="1" applyAlignment="1" applyProtection="1">
      <alignment horizontal="center" vertical="center" wrapText="1"/>
      <protection hidden="1"/>
    </xf>
    <xf numFmtId="164" fontId="22" fillId="0" borderId="1" xfId="9" applyNumberFormat="1" applyFont="1" applyFill="1" applyBorder="1" applyAlignment="1" applyProtection="1">
      <alignment horizontal="center" vertical="center" wrapText="1"/>
      <protection hidden="1"/>
    </xf>
    <xf numFmtId="164" fontId="22" fillId="0" borderId="3" xfId="9" applyNumberFormat="1" applyFont="1" applyFill="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31" fillId="6" borderId="11" xfId="0" applyFont="1" applyFill="1" applyBorder="1" applyAlignment="1" applyProtection="1">
      <alignment vertical="center"/>
      <protection hidden="1"/>
    </xf>
    <xf numFmtId="0" fontId="31" fillId="6" borderId="0" xfId="0" applyFont="1" applyFill="1" applyAlignment="1" applyProtection="1">
      <alignment vertical="center"/>
      <protection hidden="1"/>
    </xf>
    <xf numFmtId="0" fontId="32" fillId="6" borderId="0" xfId="0" applyFont="1" applyFill="1" applyAlignment="1" applyProtection="1">
      <alignment horizontal="center" vertical="center"/>
      <protection hidden="1"/>
    </xf>
    <xf numFmtId="0" fontId="33" fillId="0" borderId="0" xfId="0" applyFont="1" applyAlignment="1" applyProtection="1">
      <alignment vertical="center"/>
      <protection hidden="1"/>
    </xf>
    <xf numFmtId="0" fontId="6" fillId="0" borderId="0" xfId="0" applyFont="1" applyAlignment="1" applyProtection="1">
      <alignment horizontal="center"/>
      <protection hidden="1"/>
    </xf>
    <xf numFmtId="0" fontId="6" fillId="2" borderId="0" xfId="7" applyFont="1" applyFill="1" applyAlignment="1" applyProtection="1">
      <alignment horizontal="center" vertical="center" wrapText="1"/>
      <protection hidden="1"/>
    </xf>
    <xf numFmtId="0" fontId="6" fillId="0" borderId="0" xfId="0" applyFont="1" applyAlignment="1" applyProtection="1">
      <alignment horizontal="right" vertical="center"/>
      <protection hidden="1"/>
    </xf>
    <xf numFmtId="0" fontId="32" fillId="6" borderId="0" xfId="0" applyFont="1" applyFill="1" applyAlignment="1" applyProtection="1">
      <alignment vertical="center"/>
      <protection hidden="1"/>
    </xf>
    <xf numFmtId="14" fontId="6" fillId="0" borderId="0" xfId="0" applyNumberFormat="1" applyFont="1" applyAlignment="1" applyProtection="1">
      <alignment horizontal="center"/>
      <protection hidden="1"/>
    </xf>
    <xf numFmtId="14" fontId="6" fillId="0" borderId="0" xfId="0" applyNumberFormat="1" applyFont="1" applyAlignment="1" applyProtection="1">
      <alignment horizontal="right" vertical="center"/>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right" vertical="center" wrapText="1"/>
      <protection hidden="1"/>
    </xf>
    <xf numFmtId="0" fontId="8" fillId="2" borderId="0" xfId="7" applyFont="1" applyFill="1" applyAlignment="1" applyProtection="1">
      <alignment horizontal="center" vertical="center" wrapText="1"/>
      <protection hidden="1"/>
    </xf>
    <xf numFmtId="0" fontId="9" fillId="0" borderId="0" xfId="0" applyFont="1" applyAlignment="1" applyProtection="1">
      <alignment horizontal="right"/>
      <protection hidden="1"/>
    </xf>
    <xf numFmtId="0" fontId="34" fillId="6" borderId="0" xfId="0" applyFont="1" applyFill="1" applyAlignment="1" applyProtection="1">
      <alignment horizontal="center" vertical="center"/>
      <protection hidden="1"/>
    </xf>
    <xf numFmtId="0" fontId="35" fillId="0" borderId="0" xfId="0" applyFont="1" applyAlignment="1" applyProtection="1">
      <alignment horizontal="center" vertical="center" wrapText="1"/>
      <protection hidden="1"/>
    </xf>
    <xf numFmtId="0" fontId="36" fillId="6" borderId="0" xfId="0" applyFont="1" applyFill="1" applyAlignment="1" applyProtection="1">
      <alignment horizontal="center" vertical="center"/>
      <protection hidden="1"/>
    </xf>
    <xf numFmtId="0" fontId="35" fillId="0" borderId="0" xfId="0" applyFont="1" applyAlignment="1" applyProtection="1">
      <alignment horizontal="justify" vertical="center" wrapText="1"/>
      <protection hidden="1"/>
    </xf>
    <xf numFmtId="0" fontId="34" fillId="6" borderId="0" xfId="0" applyFont="1" applyFill="1" applyAlignment="1" applyProtection="1">
      <alignment horizontal="justify" vertical="center"/>
      <protection hidden="1"/>
    </xf>
    <xf numFmtId="0" fontId="35" fillId="0" borderId="0" xfId="0" applyFont="1" applyAlignment="1" applyProtection="1">
      <alignment horizontal="left" vertical="center" wrapText="1"/>
      <protection hidden="1"/>
    </xf>
    <xf numFmtId="0" fontId="37" fillId="6" borderId="0" xfId="0" applyFont="1" applyFill="1" applyAlignment="1" applyProtection="1">
      <alignment horizontal="justify" vertical="center"/>
      <protection hidden="1"/>
    </xf>
    <xf numFmtId="0" fontId="37" fillId="6" borderId="0" xfId="0" applyFont="1" applyFill="1" applyAlignment="1" applyProtection="1">
      <alignment horizontal="center" vertical="center"/>
      <protection hidden="1"/>
    </xf>
    <xf numFmtId="1" fontId="35" fillId="0" borderId="0" xfId="9" applyNumberFormat="1" applyFont="1" applyFill="1" applyBorder="1" applyAlignment="1" applyProtection="1">
      <alignment horizontal="center" vertical="center" wrapText="1"/>
      <protection hidden="1"/>
    </xf>
    <xf numFmtId="0" fontId="38" fillId="0" borderId="0" xfId="0" applyFont="1" applyAlignment="1" applyProtection="1">
      <alignment horizontal="left" vertical="center" wrapText="1"/>
      <protection hidden="1"/>
    </xf>
    <xf numFmtId="0" fontId="39" fillId="7" borderId="9" xfId="0" applyFont="1" applyFill="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13" fillId="0" borderId="0" xfId="0" applyFont="1" applyAlignment="1" applyProtection="1">
      <alignment horizontal="left" vertical="center" wrapText="1"/>
      <protection hidden="1"/>
    </xf>
    <xf numFmtId="0" fontId="35" fillId="6" borderId="0" xfId="0" applyFont="1" applyFill="1" applyAlignment="1" applyProtection="1">
      <alignment horizontal="justify" vertical="center" wrapText="1"/>
      <protection hidden="1"/>
    </xf>
    <xf numFmtId="0" fontId="35" fillId="6" borderId="0" xfId="0" applyFont="1" applyFill="1" applyAlignment="1" applyProtection="1">
      <alignment horizontal="center" vertical="center" wrapText="1"/>
      <protection hidden="1"/>
    </xf>
    <xf numFmtId="0" fontId="40" fillId="0" borderId="0" xfId="0" applyFont="1" applyAlignment="1" applyProtection="1">
      <alignment horizontal="center" vertical="center"/>
      <protection hidden="1"/>
    </xf>
    <xf numFmtId="0" fontId="40" fillId="0" borderId="0" xfId="0" applyFont="1" applyAlignment="1" applyProtection="1">
      <alignment vertical="center"/>
      <protection hidden="1"/>
    </xf>
    <xf numFmtId="0" fontId="41" fillId="0" borderId="0" xfId="0" applyFont="1" applyAlignment="1" applyProtection="1">
      <alignment vertical="center"/>
      <protection hidden="1"/>
    </xf>
    <xf numFmtId="0" fontId="42" fillId="0" borderId="0" xfId="0" applyFont="1" applyAlignment="1" applyProtection="1">
      <alignment vertical="center"/>
      <protection hidden="1"/>
    </xf>
    <xf numFmtId="0" fontId="43" fillId="0" borderId="0" xfId="0" applyFont="1" applyAlignment="1" applyProtection="1">
      <alignment vertical="center"/>
      <protection hidden="1"/>
    </xf>
    <xf numFmtId="0" fontId="45" fillId="0" borderId="0" xfId="0" applyFont="1" applyAlignment="1" applyProtection="1">
      <alignment horizontal="center" vertical="center" wrapText="1"/>
      <protection hidden="1"/>
    </xf>
    <xf numFmtId="0" fontId="42" fillId="0" borderId="0" xfId="0" applyFont="1" applyAlignment="1" applyProtection="1">
      <alignment horizontal="center" vertical="center" wrapText="1"/>
      <protection hidden="1"/>
    </xf>
    <xf numFmtId="0" fontId="43" fillId="0" borderId="0" xfId="0" applyFont="1" applyAlignment="1" applyProtection="1">
      <alignment horizontal="center" vertical="center" wrapText="1"/>
      <protection hidden="1"/>
    </xf>
    <xf numFmtId="0" fontId="12" fillId="0" borderId="0" xfId="0" applyFont="1" applyAlignment="1" applyProtection="1">
      <alignment vertical="center" wrapText="1"/>
      <protection hidden="1"/>
    </xf>
    <xf numFmtId="0" fontId="46" fillId="0" borderId="0" xfId="0" applyFont="1" applyAlignment="1" applyProtection="1">
      <alignment vertical="center" wrapText="1"/>
      <protection hidden="1"/>
    </xf>
    <xf numFmtId="0" fontId="47" fillId="0" borderId="0" xfId="0" applyFont="1" applyAlignment="1" applyProtection="1">
      <alignment vertical="center" wrapText="1"/>
      <protection hidden="1"/>
    </xf>
    <xf numFmtId="0" fontId="24" fillId="0" borderId="0" xfId="0" applyFont="1" applyAlignment="1" applyProtection="1">
      <alignment vertical="center" wrapText="1"/>
      <protection hidden="1"/>
    </xf>
    <xf numFmtId="0" fontId="48" fillId="0" borderId="1" xfId="0" applyFont="1" applyBorder="1" applyAlignment="1" applyProtection="1">
      <alignment horizontal="left" vertical="center" wrapText="1"/>
      <protection hidden="1"/>
    </xf>
    <xf numFmtId="0" fontId="48" fillId="0" borderId="1" xfId="0" applyFont="1" applyBorder="1" applyAlignment="1" applyProtection="1">
      <alignment vertical="center" wrapText="1"/>
      <protection hidden="1"/>
    </xf>
    <xf numFmtId="0" fontId="29" fillId="0" borderId="1" xfId="0" applyFont="1" applyBorder="1" applyAlignment="1" applyProtection="1">
      <alignment horizontal="justify" vertical="center" wrapText="1"/>
      <protection hidden="1"/>
    </xf>
    <xf numFmtId="0" fontId="0" fillId="0" borderId="2"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29" fillId="0" borderId="9" xfId="0" applyFont="1" applyBorder="1" applyAlignment="1" applyProtection="1">
      <alignment horizontal="center" vertical="center" wrapText="1"/>
      <protection hidden="1"/>
    </xf>
    <xf numFmtId="0" fontId="49" fillId="0" borderId="0" xfId="0" applyFont="1" applyAlignment="1" applyProtection="1">
      <alignment vertical="center" wrapText="1"/>
      <protection hidden="1"/>
    </xf>
    <xf numFmtId="0" fontId="0" fillId="0" borderId="1" xfId="0" applyBorder="1" applyAlignment="1" applyProtection="1">
      <alignment horizontal="left" vertical="center" wrapText="1"/>
      <protection hidden="1"/>
    </xf>
    <xf numFmtId="9" fontId="0" fillId="0" borderId="2"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1" fontId="0" fillId="0" borderId="1" xfId="0" applyNumberFormat="1" applyBorder="1" applyAlignment="1" applyProtection="1">
      <alignment horizontal="center" vertical="center" wrapText="1"/>
      <protection hidden="1"/>
    </xf>
    <xf numFmtId="9" fontId="22" fillId="0" borderId="1" xfId="9" applyFont="1" applyFill="1" applyBorder="1" applyAlignment="1" applyProtection="1">
      <alignment horizontal="center" vertical="center" wrapText="1"/>
      <protection hidden="1"/>
    </xf>
    <xf numFmtId="0" fontId="50" fillId="0" borderId="0" xfId="0" applyFont="1" applyAlignment="1" applyProtection="1">
      <alignment horizontal="left" vertical="center" wrapText="1"/>
      <protection hidden="1"/>
    </xf>
    <xf numFmtId="0" fontId="29" fillId="0" borderId="2" xfId="0" applyFont="1" applyBorder="1" applyAlignment="1" applyProtection="1">
      <alignment horizontal="center" vertical="center"/>
      <protection hidden="1"/>
    </xf>
    <xf numFmtId="0" fontId="29" fillId="0" borderId="1" xfId="0" applyFont="1" applyBorder="1" applyAlignment="1" applyProtection="1">
      <alignment horizontal="center" vertical="center"/>
      <protection hidden="1"/>
    </xf>
    <xf numFmtId="9" fontId="35" fillId="0" borderId="0" xfId="0" applyNumberFormat="1" applyFont="1" applyAlignment="1" applyProtection="1">
      <alignment horizontal="left" vertical="center" wrapText="1"/>
      <protection hidden="1"/>
    </xf>
    <xf numFmtId="0" fontId="0" fillId="0" borderId="4" xfId="0" applyBorder="1" applyAlignment="1" applyProtection="1">
      <alignment horizontal="left" vertical="center" wrapText="1"/>
      <protection hidden="1"/>
    </xf>
    <xf numFmtId="0" fontId="48" fillId="0" borderId="4" xfId="0" applyFont="1" applyBorder="1" applyAlignment="1" applyProtection="1">
      <alignment vertical="center" wrapText="1"/>
      <protection hidden="1"/>
    </xf>
    <xf numFmtId="0" fontId="29" fillId="0" borderId="4" xfId="0" applyFont="1" applyBorder="1" applyAlignment="1" applyProtection="1">
      <alignment horizontal="justify" vertical="center" wrapText="1"/>
      <protection hidden="1"/>
    </xf>
    <xf numFmtId="0" fontId="0" fillId="0" borderId="1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4" xfId="0" applyBorder="1" applyAlignment="1" applyProtection="1">
      <alignment horizontal="justify" vertical="center" wrapText="1"/>
      <protection hidden="1"/>
    </xf>
    <xf numFmtId="0" fontId="0" fillId="0" borderId="5" xfId="0" applyBorder="1" applyAlignment="1" applyProtection="1">
      <alignment horizontal="justify" vertical="center" wrapText="1"/>
      <protection hidden="1"/>
    </xf>
    <xf numFmtId="9" fontId="0" fillId="0" borderId="4" xfId="0" applyNumberFormat="1" applyBorder="1" applyAlignment="1" applyProtection="1">
      <alignment horizontal="center" vertical="center" wrapText="1"/>
      <protection hidden="1"/>
    </xf>
    <xf numFmtId="1" fontId="35" fillId="0" borderId="0" xfId="0" applyNumberFormat="1" applyFont="1" applyAlignment="1" applyProtection="1">
      <alignment horizontal="center" vertical="center" wrapText="1"/>
      <protection hidden="1"/>
    </xf>
    <xf numFmtId="9" fontId="29" fillId="0" borderId="1" xfId="0" applyNumberFormat="1" applyFont="1" applyBorder="1" applyAlignment="1" applyProtection="1">
      <alignment horizontal="center" vertical="center" wrapText="1"/>
      <protection locked="0"/>
    </xf>
    <xf numFmtId="9" fontId="29" fillId="0" borderId="3" xfId="0" applyNumberFormat="1" applyFont="1" applyBorder="1" applyAlignment="1" applyProtection="1">
      <alignment horizontal="center" vertical="center" wrapText="1"/>
      <protection locked="0"/>
    </xf>
    <xf numFmtId="9" fontId="29" fillId="0" borderId="1" xfId="9" applyFont="1" applyFill="1" applyBorder="1" applyAlignment="1" applyProtection="1">
      <alignment horizontal="center" vertical="center" wrapText="1"/>
      <protection locked="0"/>
    </xf>
    <xf numFmtId="9" fontId="29" fillId="0" borderId="3" xfId="9" applyFont="1" applyFill="1" applyBorder="1" applyAlignment="1" applyProtection="1">
      <alignment horizontal="center" vertical="center" wrapText="1"/>
      <protection locked="0"/>
    </xf>
    <xf numFmtId="164" fontId="29" fillId="0" borderId="1" xfId="9" applyNumberFormat="1" applyFont="1" applyFill="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1" xfId="0" applyFont="1" applyBorder="1" applyAlignment="1" applyProtection="1">
      <alignment horizontal="justify" vertical="center" wrapText="1"/>
      <protection locked="0"/>
    </xf>
    <xf numFmtId="2" fontId="29" fillId="0" borderId="1" xfId="0" applyNumberFormat="1" applyFont="1" applyBorder="1" applyAlignment="1" applyProtection="1">
      <alignment horizontal="center" vertical="center" wrapText="1"/>
      <protection hidden="1"/>
    </xf>
    <xf numFmtId="1" fontId="29" fillId="0" borderId="1" xfId="9" applyNumberFormat="1" applyFont="1" applyFill="1" applyBorder="1" applyAlignment="1" applyProtection="1">
      <alignment horizontal="center" vertical="center" wrapText="1"/>
      <protection locked="0"/>
    </xf>
    <xf numFmtId="0" fontId="29" fillId="0" borderId="1" xfId="5" applyFont="1" applyFill="1" applyBorder="1" applyAlignment="1" applyProtection="1">
      <alignment horizontal="center" vertical="center" wrapText="1"/>
      <protection locked="0"/>
    </xf>
    <xf numFmtId="9" fontId="29" fillId="0" borderId="1" xfId="5" applyNumberFormat="1" applyFont="1" applyFill="1" applyBorder="1" applyAlignment="1" applyProtection="1">
      <alignment horizontal="center" vertical="center" wrapText="1"/>
      <protection locked="0"/>
    </xf>
    <xf numFmtId="9" fontId="22" fillId="0" borderId="1" xfId="9" applyFont="1" applyFill="1" applyBorder="1" applyAlignment="1">
      <alignment horizontal="center" vertical="center" wrapText="1"/>
    </xf>
    <xf numFmtId="164" fontId="22" fillId="0" borderId="3" xfId="9" applyNumberFormat="1" applyFont="1" applyFill="1" applyBorder="1" applyAlignment="1">
      <alignment horizontal="center" vertical="center" wrapText="1"/>
    </xf>
    <xf numFmtId="2" fontId="29" fillId="0" borderId="1" xfId="9" applyNumberFormat="1" applyFont="1" applyFill="1" applyBorder="1" applyAlignment="1" applyProtection="1">
      <alignment horizontal="center" vertical="center" wrapText="1"/>
      <protection locked="0"/>
    </xf>
    <xf numFmtId="0" fontId="36" fillId="6" borderId="0" xfId="0" applyFont="1" applyFill="1" applyAlignment="1" applyProtection="1">
      <alignment horizontal="justify" vertical="center"/>
      <protection hidden="1"/>
    </xf>
    <xf numFmtId="0" fontId="29" fillId="0" borderId="1" xfId="5" applyFont="1" applyFill="1" applyBorder="1" applyAlignment="1" applyProtection="1">
      <alignment horizontal="justify" vertical="center" wrapText="1"/>
      <protection locked="0"/>
    </xf>
    <xf numFmtId="0" fontId="29" fillId="0" borderId="4" xfId="0" applyFont="1" applyBorder="1" applyAlignment="1" applyProtection="1">
      <alignment horizontal="justify" vertical="center" wrapText="1"/>
      <protection locked="0"/>
    </xf>
    <xf numFmtId="9" fontId="29" fillId="0" borderId="2" xfId="0" applyNumberFormat="1" applyFont="1" applyBorder="1" applyAlignment="1" applyProtection="1">
      <alignment horizontal="center" vertical="center" wrapText="1"/>
      <protection hidden="1"/>
    </xf>
    <xf numFmtId="9" fontId="0" fillId="0" borderId="2" xfId="0" applyNumberFormat="1"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29" fillId="0" borderId="4" xfId="0" applyNumberFormat="1" applyFont="1" applyBorder="1" applyAlignment="1" applyProtection="1">
      <alignment horizontal="center" vertical="center" wrapText="1"/>
      <protection locked="0"/>
    </xf>
    <xf numFmtId="9" fontId="29" fillId="0" borderId="5" xfId="0" applyNumberFormat="1" applyFont="1" applyBorder="1" applyAlignment="1" applyProtection="1">
      <alignment horizontal="center" vertical="center" wrapText="1"/>
      <protection locked="0"/>
    </xf>
    <xf numFmtId="2" fontId="29" fillId="0" borderId="1"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7" xfId="0" applyBorder="1" applyAlignment="1" applyProtection="1">
      <alignment horizontal="justify" vertical="center" wrapText="1"/>
      <protection hidden="1"/>
    </xf>
    <xf numFmtId="0" fontId="0" fillId="0" borderId="8" xfId="0" applyBorder="1" applyAlignment="1" applyProtection="1">
      <alignment horizontal="center" vertical="center" wrapText="1"/>
      <protection hidden="1"/>
    </xf>
    <xf numFmtId="9" fontId="0" fillId="0" borderId="7" xfId="0" applyNumberFormat="1" applyBorder="1" applyAlignment="1" applyProtection="1">
      <alignment horizontal="center" vertical="center" wrapText="1"/>
      <protection hidden="1"/>
    </xf>
    <xf numFmtId="0" fontId="44" fillId="7" borderId="10" xfId="0" applyFont="1" applyFill="1" applyBorder="1" applyAlignment="1" applyProtection="1">
      <alignment horizontal="center" vertical="center"/>
      <protection hidden="1"/>
    </xf>
    <xf numFmtId="0" fontId="44" fillId="7" borderId="4" xfId="0" applyFont="1" applyFill="1" applyBorder="1" applyAlignment="1" applyProtection="1">
      <alignment horizontal="center" vertical="center"/>
      <protection hidden="1"/>
    </xf>
    <xf numFmtId="0" fontId="29" fillId="0" borderId="15" xfId="0" applyFont="1" applyBorder="1" applyAlignment="1" applyProtection="1">
      <alignment vertical="center" wrapText="1"/>
      <protection hidden="1"/>
    </xf>
    <xf numFmtId="0" fontId="48" fillId="0" borderId="15" xfId="0" applyFont="1" applyBorder="1" applyAlignment="1" applyProtection="1">
      <alignment vertical="center" wrapText="1"/>
      <protection hidden="1"/>
    </xf>
    <xf numFmtId="0" fontId="0" fillId="0" borderId="1" xfId="0" applyBorder="1" applyAlignment="1" applyProtection="1">
      <alignment horizontal="center" vertical="center" wrapText="1"/>
      <protection locked="0" hidden="1"/>
    </xf>
    <xf numFmtId="9" fontId="0" fillId="0" borderId="3" xfId="0" applyNumberFormat="1" applyBorder="1" applyAlignment="1" applyProtection="1">
      <alignment horizontal="center" vertical="center" wrapText="1"/>
      <protection locked="0" hidden="1"/>
    </xf>
    <xf numFmtId="1" fontId="0" fillId="0" borderId="2" xfId="0" applyNumberFormat="1" applyBorder="1" applyAlignment="1" applyProtection="1">
      <alignment horizontal="center" vertical="center" wrapText="1"/>
      <protection hidden="1"/>
    </xf>
    <xf numFmtId="0" fontId="29" fillId="0" borderId="1" xfId="0" applyFont="1" applyBorder="1" applyAlignment="1" applyProtection="1">
      <alignment vertical="center" wrapText="1"/>
      <protection hidden="1"/>
    </xf>
    <xf numFmtId="9" fontId="29" fillId="0" borderId="2" xfId="0" applyNumberFormat="1" applyFont="1" applyBorder="1" applyAlignment="1" applyProtection="1">
      <alignment horizontal="center" vertical="center"/>
      <protection hidden="1"/>
    </xf>
    <xf numFmtId="9" fontId="29" fillId="0" borderId="1" xfId="0" applyNumberFormat="1" applyFont="1" applyBorder="1" applyAlignment="1" applyProtection="1">
      <alignment horizontal="center" vertical="center"/>
      <protection hidden="1"/>
    </xf>
    <xf numFmtId="0" fontId="6" fillId="6" borderId="0" xfId="0" applyFont="1" applyFill="1" applyAlignment="1" applyProtection="1">
      <alignment horizontal="center" vertical="center"/>
      <protection hidden="1"/>
    </xf>
    <xf numFmtId="14" fontId="6" fillId="6" borderId="0" xfId="0" applyNumberFormat="1" applyFont="1" applyFill="1" applyAlignment="1" applyProtection="1">
      <alignment horizontal="center" vertical="center"/>
      <protection hidden="1"/>
    </xf>
    <xf numFmtId="0" fontId="7" fillId="6" borderId="0" xfId="0" applyFont="1" applyFill="1" applyAlignment="1" applyProtection="1">
      <alignment horizontal="center" vertical="center" wrapText="1"/>
      <protection hidden="1"/>
    </xf>
    <xf numFmtId="0" fontId="51" fillId="6" borderId="0" xfId="0" applyFont="1" applyFill="1" applyAlignment="1" applyProtection="1">
      <alignment horizontal="center" vertical="center" wrapText="1"/>
      <protection hidden="1"/>
    </xf>
    <xf numFmtId="0" fontId="40" fillId="6" borderId="0" xfId="0" applyFont="1" applyFill="1" applyAlignment="1" applyProtection="1">
      <alignment horizontal="center" vertical="center"/>
      <protection hidden="1"/>
    </xf>
    <xf numFmtId="0" fontId="31" fillId="6" borderId="0" xfId="0" applyFont="1" applyFill="1" applyAlignment="1" applyProtection="1">
      <alignment horizontal="center" vertical="center"/>
      <protection hidden="1"/>
    </xf>
    <xf numFmtId="0" fontId="29" fillId="0" borderId="2" xfId="0" applyFont="1" applyBorder="1" applyAlignment="1" applyProtection="1">
      <alignment horizontal="center" vertical="center" wrapText="1"/>
      <protection hidden="1"/>
    </xf>
    <xf numFmtId="0" fontId="29" fillId="0" borderId="9" xfId="0" applyFont="1" applyBorder="1" applyAlignment="1" applyProtection="1">
      <alignment horizontal="center" vertical="center" wrapText="1"/>
      <protection locked="0"/>
    </xf>
    <xf numFmtId="0" fontId="29" fillId="0" borderId="9" xfId="5" applyFont="1" applyFill="1" applyBorder="1" applyAlignment="1" applyProtection="1">
      <alignment horizontal="center" vertical="center" wrapText="1"/>
      <protection locked="0"/>
    </xf>
    <xf numFmtId="9" fontId="0" fillId="0" borderId="16" xfId="0" applyNumberFormat="1" applyBorder="1" applyAlignment="1" applyProtection="1">
      <alignment horizontal="center" vertical="center" wrapText="1"/>
      <protection hidden="1"/>
    </xf>
    <xf numFmtId="9" fontId="0" fillId="0" borderId="13" xfId="0" applyNumberFormat="1" applyBorder="1" applyAlignment="1" applyProtection="1">
      <alignment horizontal="center" vertical="center" wrapText="1"/>
      <protection hidden="1"/>
    </xf>
    <xf numFmtId="9" fontId="29" fillId="0" borderId="9" xfId="9" applyFont="1" applyFill="1" applyBorder="1" applyAlignment="1" applyProtection="1">
      <alignment horizontal="center" vertical="center" wrapText="1"/>
      <protection locked="0"/>
    </xf>
    <xf numFmtId="1" fontId="29" fillId="0" borderId="9" xfId="9" applyNumberFormat="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hidden="1"/>
    </xf>
    <xf numFmtId="0" fontId="0" fillId="0" borderId="9" xfId="0" applyBorder="1" applyAlignment="1">
      <alignment horizontal="center" vertical="center" wrapText="1"/>
    </xf>
    <xf numFmtId="9" fontId="29" fillId="0" borderId="9" xfId="0" applyNumberFormat="1" applyFont="1" applyBorder="1" applyAlignment="1" applyProtection="1">
      <alignment horizontal="center" vertical="center" wrapText="1"/>
      <protection locked="0"/>
    </xf>
    <xf numFmtId="165" fontId="29" fillId="0" borderId="9" xfId="0" applyNumberFormat="1" applyFont="1" applyBorder="1" applyAlignment="1" applyProtection="1">
      <alignment horizontal="center" vertical="center" wrapText="1"/>
      <protection locked="0"/>
    </xf>
    <xf numFmtId="165" fontId="29" fillId="0" borderId="9" xfId="9" applyNumberFormat="1" applyFont="1" applyFill="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1" fontId="44" fillId="7" borderId="18" xfId="9" applyNumberFormat="1" applyFont="1" applyFill="1" applyBorder="1" applyAlignment="1" applyProtection="1">
      <alignment horizontal="center" vertical="center" wrapText="1"/>
      <protection hidden="1"/>
    </xf>
    <xf numFmtId="0" fontId="44" fillId="7" borderId="17" xfId="0" applyFont="1" applyFill="1" applyBorder="1" applyAlignment="1" applyProtection="1">
      <alignment horizontal="center" vertical="center" wrapText="1"/>
      <protection hidden="1"/>
    </xf>
    <xf numFmtId="0" fontId="44" fillId="7" borderId="19" xfId="0" applyFont="1" applyFill="1" applyBorder="1" applyAlignment="1" applyProtection="1">
      <alignment horizontal="center" vertical="center" wrapText="1"/>
      <protection hidden="1"/>
    </xf>
    <xf numFmtId="1" fontId="44" fillId="7" borderId="20" xfId="9" applyNumberFormat="1" applyFont="1" applyFill="1" applyBorder="1" applyAlignment="1" applyProtection="1">
      <alignment horizontal="center" vertical="center" wrapText="1"/>
      <protection hidden="1"/>
    </xf>
    <xf numFmtId="0" fontId="52" fillId="0" borderId="32" xfId="2" applyFont="1" applyFill="1" applyAlignment="1" applyProtection="1">
      <alignment horizontal="center" vertical="center" wrapText="1"/>
      <protection hidden="1"/>
    </xf>
    <xf numFmtId="0" fontId="52" fillId="0" borderId="14" xfId="1" applyFont="1" applyFill="1" applyBorder="1" applyAlignment="1" applyProtection="1">
      <alignment horizontal="center" vertical="center" wrapText="1"/>
      <protection hidden="1"/>
    </xf>
    <xf numFmtId="0" fontId="52" fillId="0" borderId="2" xfId="1" applyFont="1" applyFill="1" applyBorder="1" applyAlignment="1" applyProtection="1">
      <alignment horizontal="center" vertical="center" wrapText="1"/>
      <protection hidden="1"/>
    </xf>
    <xf numFmtId="0" fontId="52" fillId="0" borderId="32" xfId="1" applyFont="1" applyFill="1" applyBorder="1" applyAlignment="1" applyProtection="1">
      <alignment horizontal="center" vertical="center" wrapText="1"/>
      <protection hidden="1"/>
    </xf>
    <xf numFmtId="0" fontId="52" fillId="0" borderId="15" xfId="1" applyFont="1" applyFill="1" applyBorder="1" applyAlignment="1" applyProtection="1">
      <alignment horizontal="center" vertical="center" wrapText="1"/>
      <protection hidden="1"/>
    </xf>
    <xf numFmtId="0" fontId="52" fillId="0" borderId="12" xfId="1"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locked="0" hidden="1"/>
    </xf>
    <xf numFmtId="0" fontId="0" fillId="0" borderId="9" xfId="0" applyBorder="1" applyAlignment="1" applyProtection="1">
      <alignment horizontal="center" vertical="center"/>
      <protection locked="0" hidden="1"/>
    </xf>
    <xf numFmtId="164" fontId="29" fillId="0" borderId="3" xfId="9" applyNumberFormat="1" applyFont="1" applyFill="1" applyBorder="1" applyAlignment="1" applyProtection="1">
      <alignment horizontal="center" vertical="center" wrapText="1"/>
      <protection locked="0"/>
    </xf>
    <xf numFmtId="166" fontId="29" fillId="0" borderId="1" xfId="0" applyNumberFormat="1" applyFont="1" applyBorder="1" applyAlignment="1" applyProtection="1">
      <alignment horizontal="center" vertical="center" wrapText="1"/>
      <protection hidden="1"/>
    </xf>
    <xf numFmtId="1" fontId="0" fillId="0" borderId="1" xfId="0" applyNumberFormat="1" applyBorder="1" applyAlignment="1">
      <alignment horizontal="center" vertical="center" wrapText="1"/>
    </xf>
    <xf numFmtId="2" fontId="0" fillId="0" borderId="4" xfId="0" applyNumberFormat="1" applyBorder="1" applyAlignment="1" applyProtection="1">
      <alignment horizontal="center" vertical="center" wrapText="1"/>
      <protection hidden="1"/>
    </xf>
    <xf numFmtId="9" fontId="22" fillId="0" borderId="4" xfId="9" applyFont="1" applyFill="1" applyBorder="1" applyAlignment="1" applyProtection="1">
      <alignment horizontal="center" vertical="center" wrapText="1"/>
      <protection hidden="1"/>
    </xf>
    <xf numFmtId="9" fontId="22" fillId="0" borderId="2" xfId="9" applyFont="1" applyFill="1" applyBorder="1" applyAlignment="1" applyProtection="1">
      <alignment horizontal="center" vertical="center" wrapText="1"/>
      <protection hidden="1"/>
    </xf>
    <xf numFmtId="9" fontId="29" fillId="0" borderId="1" xfId="9" applyFont="1" applyFill="1" applyBorder="1" applyAlignment="1" applyProtection="1">
      <alignment horizontal="center" vertical="center" wrapText="1"/>
      <protection hidden="1"/>
    </xf>
    <xf numFmtId="2" fontId="35" fillId="6" borderId="0" xfId="0" applyNumberFormat="1" applyFont="1" applyFill="1" applyAlignment="1" applyProtection="1">
      <alignment horizontal="center" vertical="center" wrapText="1"/>
      <protection hidden="1"/>
    </xf>
    <xf numFmtId="2" fontId="29" fillId="0" borderId="2" xfId="0" applyNumberFormat="1" applyFont="1" applyBorder="1" applyAlignment="1" applyProtection="1">
      <alignment horizontal="center" vertical="center" wrapText="1"/>
      <protection hidden="1"/>
    </xf>
    <xf numFmtId="1" fontId="22" fillId="0" borderId="2" xfId="9" applyNumberFormat="1" applyFont="1" applyFill="1" applyBorder="1" applyAlignment="1" applyProtection="1">
      <alignment horizontal="center" vertical="center" wrapText="1"/>
      <protection hidden="1"/>
    </xf>
    <xf numFmtId="1" fontId="29" fillId="0" borderId="2" xfId="0" applyNumberFormat="1" applyFont="1" applyBorder="1" applyAlignment="1" applyProtection="1">
      <alignment horizontal="center" vertical="center" wrapText="1"/>
      <protection hidden="1"/>
    </xf>
    <xf numFmtId="1" fontId="48" fillId="0" borderId="1" xfId="0" applyNumberFormat="1" applyFont="1" applyBorder="1" applyAlignment="1" applyProtection="1">
      <alignment horizontal="center" vertical="center" wrapText="1"/>
      <protection hidden="1"/>
    </xf>
    <xf numFmtId="0" fontId="29" fillId="0" borderId="1" xfId="7" applyFont="1" applyBorder="1" applyAlignment="1" applyProtection="1">
      <alignment horizontal="center" vertical="center" wrapText="1"/>
      <protection hidden="1"/>
    </xf>
    <xf numFmtId="3" fontId="29" fillId="0" borderId="1" xfId="0" applyNumberFormat="1" applyFont="1" applyBorder="1" applyAlignment="1" applyProtection="1">
      <alignment horizontal="center" vertical="center" wrapText="1"/>
      <protection locked="0"/>
    </xf>
    <xf numFmtId="1" fontId="29" fillId="0" borderId="1" xfId="0" applyNumberFormat="1" applyFont="1" applyBorder="1" applyAlignment="1" applyProtection="1">
      <alignment horizontal="center" vertical="center" wrapText="1"/>
      <protection locked="0"/>
    </xf>
    <xf numFmtId="9" fontId="48" fillId="0" borderId="1" xfId="9" applyFont="1" applyFill="1" applyBorder="1" applyAlignment="1" applyProtection="1">
      <alignment horizontal="center" vertical="center" wrapText="1"/>
      <protection hidden="1"/>
    </xf>
    <xf numFmtId="0" fontId="53" fillId="0" borderId="7" xfId="0" applyFont="1" applyBorder="1" applyAlignment="1" applyProtection="1">
      <alignment horizontal="justify" vertical="center" wrapText="1"/>
      <protection hidden="1"/>
    </xf>
    <xf numFmtId="0" fontId="0" fillId="0" borderId="7" xfId="0" applyBorder="1" applyAlignment="1" applyProtection="1">
      <alignment horizontal="center" vertical="center" wrapText="1"/>
      <protection hidden="1"/>
    </xf>
    <xf numFmtId="164" fontId="22" fillId="0" borderId="7" xfId="9" applyNumberFormat="1" applyFont="1" applyFill="1" applyBorder="1" applyAlignment="1" applyProtection="1">
      <alignment horizontal="center" vertical="center" wrapText="1"/>
      <protection hidden="1"/>
    </xf>
    <xf numFmtId="164" fontId="0" fillId="0" borderId="21" xfId="0" applyNumberFormat="1" applyBorder="1" applyAlignment="1" applyProtection="1">
      <alignment horizontal="center" vertical="center" wrapText="1"/>
      <protection hidden="1"/>
    </xf>
    <xf numFmtId="0" fontId="53" fillId="0" borderId="1" xfId="0" applyFont="1" applyBorder="1" applyAlignment="1" applyProtection="1">
      <alignment horizontal="justify" vertical="center" wrapText="1"/>
      <protection hidden="1"/>
    </xf>
    <xf numFmtId="0" fontId="29" fillId="0" borderId="3" xfId="0" applyFont="1" applyBorder="1" applyAlignment="1" applyProtection="1">
      <alignment horizontal="justify" vertical="center" wrapText="1"/>
      <protection hidden="1"/>
    </xf>
    <xf numFmtId="0" fontId="0" fillId="0" borderId="1" xfId="0" applyBorder="1" applyAlignment="1" applyProtection="1">
      <alignment horizontal="justify" vertical="center" wrapText="1"/>
      <protection hidden="1"/>
    </xf>
    <xf numFmtId="2" fontId="0" fillId="0" borderId="1" xfId="0" applyNumberFormat="1" applyBorder="1" applyAlignment="1" applyProtection="1">
      <alignment horizontal="center" vertical="center" wrapText="1"/>
      <protection hidden="1"/>
    </xf>
    <xf numFmtId="9" fontId="22" fillId="0" borderId="16" xfId="9" applyFont="1" applyFill="1" applyBorder="1" applyAlignment="1" applyProtection="1">
      <alignment horizontal="center" vertical="center" wrapText="1"/>
      <protection hidden="1"/>
    </xf>
    <xf numFmtId="0" fontId="54" fillId="0" borderId="1" xfId="0" applyFont="1" applyBorder="1" applyAlignment="1" applyProtection="1">
      <alignment horizontal="justify" vertical="center" wrapText="1"/>
      <protection hidden="1"/>
    </xf>
    <xf numFmtId="0" fontId="0" fillId="0" borderId="3" xfId="0" applyBorder="1" applyAlignment="1" applyProtection="1">
      <alignment horizontal="justify" vertical="center" wrapText="1"/>
      <protection hidden="1"/>
    </xf>
    <xf numFmtId="9" fontId="29" fillId="0" borderId="16" xfId="0" applyNumberFormat="1" applyFont="1" applyBorder="1" applyAlignment="1" applyProtection="1">
      <alignment horizontal="center" vertical="center" wrapText="1"/>
      <protection hidden="1"/>
    </xf>
    <xf numFmtId="0" fontId="0" fillId="0" borderId="1" xfId="0" applyBorder="1" applyAlignment="1" applyProtection="1">
      <alignment horizontal="justify" vertical="center" wrapText="1"/>
      <protection locked="0"/>
    </xf>
    <xf numFmtId="0" fontId="29" fillId="0" borderId="1" xfId="0" applyFont="1" applyBorder="1" applyAlignment="1" applyProtection="1">
      <alignment horizontal="justify" vertical="top" wrapText="1"/>
      <protection locked="0"/>
    </xf>
    <xf numFmtId="0" fontId="48" fillId="0" borderId="1" xfId="0" applyFont="1" applyBorder="1" applyAlignment="1" applyProtection="1">
      <alignment horizontal="justify" vertical="center" wrapText="1"/>
      <protection hidden="1"/>
    </xf>
    <xf numFmtId="1" fontId="29" fillId="0" borderId="9" xfId="0" applyNumberFormat="1" applyFont="1" applyBorder="1" applyAlignment="1" applyProtection="1">
      <alignment horizontal="center" vertical="center" wrapText="1"/>
      <protection hidden="1"/>
    </xf>
    <xf numFmtId="1" fontId="29" fillId="0" borderId="1" xfId="0" applyNumberFormat="1" applyFont="1" applyBorder="1" applyAlignment="1" applyProtection="1">
      <alignment horizontal="center" vertical="center" wrapText="1"/>
      <protection hidden="1"/>
    </xf>
    <xf numFmtId="2" fontId="48" fillId="0" borderId="1" xfId="0" applyNumberFormat="1" applyFont="1" applyBorder="1" applyAlignment="1" applyProtection="1">
      <alignment horizontal="center" vertical="center" wrapText="1"/>
      <protection hidden="1"/>
    </xf>
    <xf numFmtId="1" fontId="29" fillId="0" borderId="9"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justify" vertical="center" wrapText="1"/>
      <protection hidden="1"/>
    </xf>
    <xf numFmtId="1" fontId="29" fillId="0" borderId="1" xfId="0" applyNumberFormat="1" applyFont="1" applyBorder="1" applyAlignment="1" applyProtection="1">
      <alignment horizontal="justify" vertical="center" wrapText="1"/>
      <protection hidden="1"/>
    </xf>
    <xf numFmtId="1" fontId="29" fillId="0" borderId="3" xfId="0" applyNumberFormat="1" applyFont="1" applyBorder="1" applyAlignment="1" applyProtection="1">
      <alignment horizontal="justify" vertical="center" wrapText="1"/>
      <protection hidden="1"/>
    </xf>
    <xf numFmtId="1" fontId="48" fillId="0" borderId="2" xfId="0" applyNumberFormat="1" applyFont="1" applyBorder="1" applyAlignment="1" applyProtection="1">
      <alignment horizontal="center" vertical="center" wrapText="1"/>
      <protection hidden="1"/>
    </xf>
    <xf numFmtId="0" fontId="48" fillId="0" borderId="1" xfId="0" applyFont="1" applyBorder="1" applyAlignment="1" applyProtection="1">
      <alignment horizontal="center" vertical="center" wrapText="1"/>
      <protection hidden="1"/>
    </xf>
    <xf numFmtId="164" fontId="22" fillId="0" borderId="16" xfId="9" applyNumberFormat="1" applyFont="1" applyFill="1" applyBorder="1" applyAlignment="1" applyProtection="1">
      <alignment horizontal="center" vertical="center" wrapText="1"/>
      <protection hidden="1"/>
    </xf>
    <xf numFmtId="165" fontId="29" fillId="0" borderId="1" xfId="0" applyNumberFormat="1" applyFont="1" applyBorder="1" applyAlignment="1" applyProtection="1">
      <alignment horizontal="center" vertical="center" wrapText="1"/>
      <protection locked="0"/>
    </xf>
    <xf numFmtId="2" fontId="29" fillId="0" borderId="9" xfId="0" applyNumberFormat="1" applyFont="1" applyBorder="1" applyAlignment="1" applyProtection="1">
      <alignment horizontal="center" vertical="center" wrapText="1"/>
      <protection locked="0"/>
    </xf>
    <xf numFmtId="2" fontId="22" fillId="0" borderId="1" xfId="9" applyNumberFormat="1" applyFont="1" applyFill="1" applyBorder="1" applyAlignment="1" applyProtection="1">
      <alignment horizontal="center" vertical="center" wrapText="1"/>
      <protection hidden="1"/>
    </xf>
    <xf numFmtId="2" fontId="29" fillId="0" borderId="9" xfId="9" applyNumberFormat="1" applyFont="1" applyFill="1" applyBorder="1" applyAlignment="1" applyProtection="1">
      <alignment horizontal="center" vertical="center" wrapText="1"/>
      <protection locked="0"/>
    </xf>
    <xf numFmtId="0" fontId="56" fillId="0" borderId="1" xfId="0" applyFont="1" applyBorder="1" applyAlignment="1" applyProtection="1">
      <alignment horizontal="justify" vertical="center" wrapText="1"/>
      <protection hidden="1"/>
    </xf>
    <xf numFmtId="0" fontId="48" fillId="0" borderId="1" xfId="0" applyFont="1" applyBorder="1" applyAlignment="1" applyProtection="1">
      <alignment horizontal="justify" vertical="top" wrapText="1"/>
      <protection hidden="1"/>
    </xf>
    <xf numFmtId="0" fontId="0" fillId="0" borderId="1" xfId="0" applyBorder="1" applyAlignment="1">
      <alignment horizontal="justify" vertical="center" wrapText="1"/>
    </xf>
    <xf numFmtId="0" fontId="20" fillId="0" borderId="1" xfId="0" applyFont="1" applyBorder="1" applyAlignment="1" applyProtection="1">
      <alignment horizontal="justify" vertical="center" wrapText="1"/>
      <protection hidden="1"/>
    </xf>
    <xf numFmtId="0" fontId="29" fillId="0" borderId="1" xfId="0" applyFont="1" applyBorder="1" applyAlignment="1" applyProtection="1">
      <alignment horizontal="justify" vertical="top" wrapText="1"/>
      <protection hidden="1"/>
    </xf>
    <xf numFmtId="0" fontId="29" fillId="0" borderId="1" xfId="7" applyFont="1" applyBorder="1" applyAlignment="1" applyProtection="1">
      <alignment horizontal="justify" vertical="center" wrapText="1"/>
      <protection hidden="1"/>
    </xf>
    <xf numFmtId="165" fontId="29" fillId="0" borderId="1" xfId="9" applyNumberFormat="1" applyFont="1" applyFill="1" applyBorder="1" applyAlignment="1" applyProtection="1">
      <alignment horizontal="center" vertical="center" wrapText="1"/>
      <protection locked="0"/>
    </xf>
    <xf numFmtId="168" fontId="29" fillId="0" borderId="9" xfId="0" applyNumberFormat="1" applyFont="1" applyBorder="1" applyAlignment="1" applyProtection="1">
      <alignment horizontal="center" vertical="center" wrapText="1"/>
      <protection locked="0"/>
    </xf>
    <xf numFmtId="168" fontId="29" fillId="0" borderId="1" xfId="0" applyNumberFormat="1" applyFont="1" applyBorder="1" applyAlignment="1" applyProtection="1">
      <alignment horizontal="center" vertical="center" wrapText="1"/>
      <protection locked="0"/>
    </xf>
    <xf numFmtId="3" fontId="29" fillId="0" borderId="9" xfId="0" applyNumberFormat="1" applyFont="1" applyBorder="1" applyAlignment="1" applyProtection="1">
      <alignment horizontal="center" vertical="center" wrapText="1"/>
      <protection hidden="1"/>
    </xf>
    <xf numFmtId="3" fontId="0" fillId="0" borderId="1" xfId="0" applyNumberFormat="1" applyBorder="1" applyAlignment="1" applyProtection="1">
      <alignment horizontal="center" vertical="center" wrapText="1"/>
      <protection hidden="1"/>
    </xf>
    <xf numFmtId="10" fontId="0" fillId="0" borderId="16" xfId="0" applyNumberFormat="1" applyBorder="1" applyAlignment="1" applyProtection="1">
      <alignment horizontal="center" vertical="center" wrapText="1"/>
      <protection hidden="1"/>
    </xf>
    <xf numFmtId="3" fontId="29" fillId="0" borderId="9" xfId="0" applyNumberFormat="1" applyFont="1" applyBorder="1" applyAlignment="1" applyProtection="1">
      <alignment horizontal="center" vertical="center" wrapText="1"/>
      <protection locked="0"/>
    </xf>
    <xf numFmtId="1" fontId="48" fillId="0" borderId="1" xfId="0" applyNumberFormat="1" applyFont="1" applyBorder="1" applyAlignment="1" applyProtection="1">
      <alignment horizontal="justify" vertical="center" wrapText="1"/>
      <protection hidden="1"/>
    </xf>
    <xf numFmtId="1" fontId="48" fillId="0" borderId="3" xfId="0" applyNumberFormat="1" applyFont="1" applyBorder="1" applyAlignment="1" applyProtection="1">
      <alignment horizontal="justify" vertical="center" wrapText="1"/>
      <protection hidden="1"/>
    </xf>
    <xf numFmtId="1" fontId="48" fillId="0" borderId="9" xfId="0" applyNumberFormat="1" applyFont="1" applyBorder="1" applyAlignment="1" applyProtection="1">
      <alignment horizontal="center" vertical="center" wrapText="1"/>
      <protection hidden="1"/>
    </xf>
    <xf numFmtId="165" fontId="48" fillId="0" borderId="1" xfId="0" applyNumberFormat="1" applyFont="1" applyBorder="1" applyAlignment="1" applyProtection="1">
      <alignment horizontal="center" vertical="center" wrapText="1"/>
      <protection hidden="1"/>
    </xf>
    <xf numFmtId="0" fontId="29" fillId="0" borderId="9"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0" fillId="0" borderId="3" xfId="0" applyBorder="1" applyAlignment="1" applyProtection="1">
      <alignment horizontal="left" vertical="center" wrapText="1"/>
      <protection hidden="1"/>
    </xf>
    <xf numFmtId="9" fontId="0" fillId="0" borderId="1" xfId="0" applyNumberFormat="1" applyBorder="1" applyAlignment="1" applyProtection="1">
      <alignment horizontal="center" vertical="center" wrapText="1"/>
      <protection locked="0" hidden="1"/>
    </xf>
    <xf numFmtId="2" fontId="29" fillId="0" borderId="9" xfId="0" applyNumberFormat="1" applyFont="1" applyBorder="1" applyAlignment="1" applyProtection="1">
      <alignment horizontal="center" vertical="center" wrapText="1"/>
      <protection hidden="1"/>
    </xf>
    <xf numFmtId="166" fontId="29" fillId="0" borderId="9" xfId="0" applyNumberFormat="1" applyFont="1" applyBorder="1" applyAlignment="1" applyProtection="1">
      <alignment horizontal="center" vertical="center" wrapText="1"/>
      <protection hidden="1"/>
    </xf>
    <xf numFmtId="0" fontId="58" fillId="0" borderId="1" xfId="0" applyFont="1" applyBorder="1" applyAlignment="1" applyProtection="1">
      <alignment horizontal="justify" vertical="center" wrapText="1"/>
      <protection hidden="1"/>
    </xf>
    <xf numFmtId="0" fontId="0" fillId="0" borderId="1" xfId="0" applyBorder="1" applyAlignment="1" applyProtection="1">
      <alignment horizontal="left" vertical="top" wrapText="1"/>
      <protection hidden="1"/>
    </xf>
    <xf numFmtId="10" fontId="0" fillId="0" borderId="7" xfId="0" applyNumberFormat="1" applyBorder="1" applyAlignment="1" applyProtection="1">
      <alignment horizontal="center" vertical="center" wrapText="1"/>
      <protection hidden="1"/>
    </xf>
    <xf numFmtId="0" fontId="44" fillId="7" borderId="13" xfId="0" applyFont="1" applyFill="1" applyBorder="1" applyAlignment="1" applyProtection="1">
      <alignment horizontal="center" vertical="center" wrapText="1"/>
      <protection hidden="1"/>
    </xf>
    <xf numFmtId="164" fontId="22" fillId="0" borderId="14" xfId="9" applyNumberFormat="1" applyFont="1" applyFill="1" applyBorder="1" applyAlignment="1" applyProtection="1">
      <alignment horizontal="center" vertical="center" wrapText="1"/>
      <protection hidden="1"/>
    </xf>
    <xf numFmtId="2" fontId="0" fillId="0" borderId="2" xfId="0" applyNumberFormat="1" applyBorder="1" applyAlignment="1" applyProtection="1">
      <alignment horizontal="center" vertical="center" wrapText="1"/>
      <protection hidden="1"/>
    </xf>
    <xf numFmtId="3" fontId="0" fillId="0" borderId="2" xfId="0" applyNumberFormat="1" applyBorder="1" applyAlignment="1" applyProtection="1">
      <alignment horizontal="center" vertical="center" wrapText="1"/>
      <protection hidden="1"/>
    </xf>
    <xf numFmtId="0" fontId="44" fillId="7" borderId="1" xfId="0" applyFont="1" applyFill="1" applyBorder="1" applyAlignment="1" applyProtection="1">
      <alignment horizontal="center" vertical="center" wrapText="1"/>
      <protection hidden="1"/>
    </xf>
    <xf numFmtId="1" fontId="44" fillId="7" borderId="1" xfId="9" applyNumberFormat="1" applyFont="1" applyFill="1" applyBorder="1" applyAlignment="1" applyProtection="1">
      <alignment horizontal="center" vertical="center" wrapText="1"/>
      <protection hidden="1"/>
    </xf>
    <xf numFmtId="3" fontId="29" fillId="0" borderId="1" xfId="0" applyNumberFormat="1" applyFont="1" applyBorder="1" applyAlignment="1" applyProtection="1">
      <alignment horizontal="center" vertical="center" wrapText="1"/>
      <protection hidden="1"/>
    </xf>
    <xf numFmtId="0" fontId="44" fillId="7" borderId="3" xfId="0" applyFont="1" applyFill="1" applyBorder="1" applyAlignment="1" applyProtection="1">
      <alignment horizontal="center" vertical="center" wrapText="1"/>
      <protection hidden="1"/>
    </xf>
    <xf numFmtId="1" fontId="48" fillId="0" borderId="3" xfId="0" applyNumberFormat="1" applyFont="1" applyBorder="1" applyAlignment="1" applyProtection="1">
      <alignment horizontal="left" vertical="center" wrapText="1"/>
      <protection hidden="1"/>
    </xf>
    <xf numFmtId="2" fontId="0" fillId="0" borderId="10" xfId="0" applyNumberFormat="1" applyBorder="1" applyAlignment="1" applyProtection="1">
      <alignment horizontal="center" vertical="center" wrapText="1"/>
      <protection hidden="1"/>
    </xf>
    <xf numFmtId="10" fontId="29" fillId="0" borderId="9" xfId="9" applyNumberFormat="1"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hidden="1"/>
    </xf>
    <xf numFmtId="0" fontId="39" fillId="7" borderId="1" xfId="0" applyFont="1" applyFill="1" applyBorder="1" applyAlignment="1" applyProtection="1">
      <alignment horizontal="center" vertical="center"/>
      <protection hidden="1"/>
    </xf>
    <xf numFmtId="9" fontId="0" fillId="0" borderId="5" xfId="0" applyNumberFormat="1" applyBorder="1" applyAlignment="1" applyProtection="1">
      <alignment horizontal="center" vertical="center" wrapText="1"/>
      <protection hidden="1"/>
    </xf>
    <xf numFmtId="1" fontId="29" fillId="0" borderId="2" xfId="9" applyNumberFormat="1" applyFont="1" applyFill="1" applyBorder="1" applyAlignment="1" applyProtection="1">
      <alignment horizontal="center" vertical="center" wrapText="1"/>
      <protection hidden="1"/>
    </xf>
    <xf numFmtId="1" fontId="29" fillId="0" borderId="1" xfId="9" applyNumberFormat="1" applyFont="1" applyFill="1" applyBorder="1" applyAlignment="1" applyProtection="1">
      <alignment horizontal="center" vertical="center" wrapText="1"/>
      <protection hidden="1"/>
    </xf>
    <xf numFmtId="10" fontId="29" fillId="0" borderId="3" xfId="9" applyNumberFormat="1"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59" fillId="6" borderId="0" xfId="0" applyFont="1" applyFill="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9" fontId="29" fillId="0" borderId="3" xfId="9" applyFont="1" applyFill="1" applyBorder="1" applyAlignment="1" applyProtection="1">
      <alignment horizontal="center" vertical="center" wrapText="1"/>
      <protection hidden="1"/>
    </xf>
    <xf numFmtId="2" fontId="29" fillId="0" borderId="2" xfId="9" applyNumberFormat="1" applyFont="1" applyFill="1" applyBorder="1" applyAlignment="1" applyProtection="1">
      <alignment horizontal="center" vertical="center" wrapText="1"/>
      <protection hidden="1"/>
    </xf>
    <xf numFmtId="164" fontId="29" fillId="0" borderId="3" xfId="0" applyNumberFormat="1" applyFont="1" applyBorder="1" applyAlignment="1" applyProtection="1">
      <alignment horizontal="center" vertical="center" wrapText="1"/>
      <protection hidden="1"/>
    </xf>
    <xf numFmtId="10" fontId="22" fillId="0" borderId="14" xfId="9" applyNumberFormat="1" applyFont="1" applyFill="1" applyBorder="1" applyAlignment="1" applyProtection="1">
      <alignment horizontal="center" vertical="center" wrapText="1"/>
      <protection hidden="1"/>
    </xf>
    <xf numFmtId="165" fontId="48" fillId="0" borderId="9" xfId="0" applyNumberFormat="1" applyFont="1" applyBorder="1" applyAlignment="1">
      <alignment horizontal="center" vertical="center" wrapText="1"/>
    </xf>
    <xf numFmtId="165" fontId="48" fillId="0" borderId="1" xfId="0" applyNumberFormat="1" applyFont="1" applyBorder="1" applyAlignment="1">
      <alignment horizontal="center" vertical="center" wrapText="1"/>
    </xf>
    <xf numFmtId="1" fontId="22" fillId="0" borderId="1" xfId="9" applyNumberFormat="1" applyFont="1" applyFill="1" applyBorder="1" applyAlignment="1" applyProtection="1">
      <alignment horizontal="center" vertical="center" wrapText="1"/>
      <protection hidden="1"/>
    </xf>
    <xf numFmtId="0" fontId="60" fillId="0" borderId="1" xfId="0" applyFont="1" applyBorder="1" applyAlignment="1" applyProtection="1">
      <alignment horizontal="justify" vertical="center" wrapText="1"/>
      <protection locked="0"/>
    </xf>
    <xf numFmtId="0" fontId="29" fillId="0" borderId="1" xfId="7" applyFont="1" applyBorder="1" applyAlignment="1" applyProtection="1">
      <alignment horizontal="justify" vertical="top" wrapText="1"/>
      <protection hidden="1"/>
    </xf>
    <xf numFmtId="1" fontId="29" fillId="0" borderId="1" xfId="0" applyNumberFormat="1" applyFont="1" applyBorder="1" applyAlignment="1" applyProtection="1">
      <alignment horizontal="justify" vertical="top" wrapText="1"/>
      <protection hidden="1"/>
    </xf>
    <xf numFmtId="167" fontId="13" fillId="0" borderId="0" xfId="0" applyNumberFormat="1" applyFont="1" applyAlignment="1" applyProtection="1">
      <alignment horizontal="center" vertical="center" wrapText="1"/>
      <protection hidden="1"/>
    </xf>
    <xf numFmtId="0" fontId="29" fillId="0" borderId="3" xfId="0" applyFont="1" applyBorder="1" applyAlignment="1" applyProtection="1">
      <alignment horizontal="justify" vertical="top" wrapText="1"/>
      <protection hidden="1"/>
    </xf>
    <xf numFmtId="0" fontId="29" fillId="0" borderId="9" xfId="9" applyNumberFormat="1" applyFont="1" applyFill="1" applyBorder="1" applyAlignment="1" applyProtection="1">
      <alignment horizontal="center" vertical="center" wrapText="1"/>
      <protection hidden="1"/>
    </xf>
    <xf numFmtId="2" fontId="48" fillId="0" borderId="9" xfId="0" applyNumberFormat="1" applyFont="1" applyBorder="1" applyAlignment="1" applyProtection="1">
      <alignment horizontal="center" vertical="center" wrapText="1"/>
      <protection hidden="1"/>
    </xf>
    <xf numFmtId="0" fontId="48" fillId="0" borderId="3" xfId="0" applyFont="1" applyBorder="1" applyAlignment="1" applyProtection="1">
      <alignment horizontal="justify" vertical="center" wrapText="1"/>
      <protection hidden="1"/>
    </xf>
    <xf numFmtId="0" fontId="29" fillId="0" borderId="3" xfId="0" applyFont="1" applyBorder="1" applyAlignment="1" applyProtection="1">
      <alignment horizontal="center" vertical="center" wrapText="1"/>
      <protection locked="0"/>
    </xf>
    <xf numFmtId="1" fontId="0" fillId="0" borderId="9" xfId="0" applyNumberFormat="1" applyBorder="1" applyAlignment="1" applyProtection="1">
      <alignment horizontal="center" vertical="center" wrapText="1"/>
      <protection hidden="1"/>
    </xf>
    <xf numFmtId="0" fontId="0" fillId="0" borderId="3" xfId="0" applyBorder="1" applyAlignment="1" applyProtection="1">
      <alignment horizontal="justify" vertical="top" wrapText="1"/>
      <protection hidden="1"/>
    </xf>
    <xf numFmtId="1" fontId="29" fillId="0" borderId="3" xfId="0" applyNumberFormat="1" applyFont="1" applyBorder="1" applyAlignment="1" applyProtection="1">
      <alignment horizontal="justify" vertical="top" wrapText="1"/>
      <protection hidden="1"/>
    </xf>
    <xf numFmtId="9" fontId="29" fillId="0" borderId="9" xfId="9" applyFont="1" applyFill="1" applyBorder="1" applyAlignment="1" applyProtection="1">
      <alignment horizontal="center" vertical="center" wrapText="1"/>
      <protection hidden="1"/>
    </xf>
    <xf numFmtId="0" fontId="29" fillId="0" borderId="9" xfId="7" applyFont="1" applyBorder="1" applyAlignment="1" applyProtection="1">
      <alignment horizontal="center" vertical="center" wrapText="1"/>
      <protection hidden="1"/>
    </xf>
    <xf numFmtId="0" fontId="29" fillId="0" borderId="3" xfId="7" applyFont="1" applyBorder="1" applyAlignment="1" applyProtection="1">
      <alignment horizontal="justify" vertical="center" wrapText="1"/>
      <protection hidden="1"/>
    </xf>
    <xf numFmtId="165" fontId="48" fillId="0" borderId="9" xfId="0" applyNumberFormat="1" applyFont="1" applyBorder="1" applyAlignment="1" applyProtection="1">
      <alignment horizontal="center" vertical="center" wrapText="1"/>
      <protection hidden="1"/>
    </xf>
    <xf numFmtId="0" fontId="29" fillId="0" borderId="3" xfId="7" applyFont="1" applyBorder="1" applyAlignment="1" applyProtection="1">
      <alignment horizontal="justify" vertical="top" wrapText="1"/>
      <protection hidden="1"/>
    </xf>
    <xf numFmtId="1" fontId="4" fillId="0" borderId="9" xfId="0" applyNumberFormat="1" applyFont="1" applyBorder="1" applyAlignment="1" applyProtection="1">
      <alignment horizontal="center" vertical="center"/>
      <protection hidden="1"/>
    </xf>
    <xf numFmtId="1" fontId="4" fillId="0" borderId="10" xfId="0" applyNumberFormat="1" applyFont="1" applyBorder="1" applyAlignment="1" applyProtection="1">
      <alignment horizontal="center" vertical="center"/>
      <protection hidden="1"/>
    </xf>
    <xf numFmtId="14" fontId="4" fillId="0" borderId="4" xfId="0" applyNumberFormat="1" applyFont="1" applyBorder="1" applyAlignment="1" applyProtection="1">
      <alignment horizontal="center" vertical="center"/>
      <protection hidden="1"/>
    </xf>
    <xf numFmtId="0" fontId="0" fillId="0" borderId="1" xfId="0" applyBorder="1" applyAlignment="1" applyProtection="1">
      <alignment horizontal="justify" vertical="top" wrapText="1"/>
      <protection hidden="1"/>
    </xf>
    <xf numFmtId="9" fontId="29" fillId="0" borderId="1" xfId="9" applyFont="1" applyBorder="1" applyAlignment="1" applyProtection="1">
      <alignment horizontal="center" vertical="center" wrapText="1"/>
      <protection hidden="1"/>
    </xf>
    <xf numFmtId="9" fontId="0" fillId="0" borderId="1" xfId="9" applyFont="1" applyBorder="1" applyAlignment="1" applyProtection="1">
      <alignment horizontal="center" vertical="center" wrapText="1"/>
      <protection hidden="1"/>
    </xf>
    <xf numFmtId="10" fontId="22" fillId="0" borderId="7" xfId="9" applyNumberFormat="1" applyFont="1" applyFill="1" applyBorder="1" applyAlignment="1" applyProtection="1">
      <alignment horizontal="center" vertical="center" wrapText="1"/>
      <protection hidden="1"/>
    </xf>
    <xf numFmtId="10" fontId="22" fillId="0" borderId="8" xfId="9" applyNumberFormat="1" applyFont="1" applyFill="1" applyBorder="1" applyAlignment="1" applyProtection="1">
      <alignment horizontal="center" vertical="center" wrapText="1"/>
      <protection hidden="1"/>
    </xf>
    <xf numFmtId="164" fontId="0" fillId="0" borderId="14" xfId="0" applyNumberFormat="1" applyBorder="1" applyAlignment="1" applyProtection="1">
      <alignment horizontal="center" vertical="center" wrapText="1"/>
      <protection hidden="1"/>
    </xf>
    <xf numFmtId="165" fontId="29" fillId="0" borderId="1" xfId="0" applyNumberFormat="1" applyFont="1" applyBorder="1" applyAlignment="1" applyProtection="1">
      <alignment horizontal="center" vertical="center" wrapText="1"/>
      <protection hidden="1"/>
    </xf>
    <xf numFmtId="9" fontId="48" fillId="0" borderId="1" xfId="9" applyFont="1" applyBorder="1" applyAlignment="1" applyProtection="1">
      <alignment horizontal="center" vertical="center" wrapText="1"/>
      <protection hidden="1"/>
    </xf>
    <xf numFmtId="0" fontId="4" fillId="6" borderId="0" xfId="0" applyFont="1" applyFill="1" applyAlignment="1" applyProtection="1">
      <alignment horizontal="center" vertical="center"/>
      <protection hidden="1"/>
    </xf>
    <xf numFmtId="0" fontId="4" fillId="0" borderId="0" xfId="0" applyFont="1" applyAlignment="1" applyProtection="1">
      <alignment vertical="center"/>
      <protection hidden="1"/>
    </xf>
    <xf numFmtId="167" fontId="29" fillId="0" borderId="1" xfId="0" applyNumberFormat="1" applyFont="1" applyBorder="1" applyAlignment="1" applyProtection="1">
      <alignment horizontal="center" vertical="center" wrapText="1"/>
      <protection hidden="1"/>
    </xf>
    <xf numFmtId="9" fontId="0" fillId="0" borderId="21" xfId="0" applyNumberFormat="1" applyBorder="1" applyAlignment="1" applyProtection="1">
      <alignment horizontal="center" vertical="center" wrapText="1"/>
      <protection hidden="1"/>
    </xf>
    <xf numFmtId="9" fontId="0" fillId="0" borderId="16" xfId="0" applyNumberFormat="1" applyBorder="1" applyAlignment="1" applyProtection="1">
      <alignment horizontal="center" vertical="center"/>
      <protection hidden="1"/>
    </xf>
    <xf numFmtId="0" fontId="0" fillId="0" borderId="13" xfId="0" applyBorder="1" applyAlignment="1" applyProtection="1">
      <alignment horizontal="center" vertical="center" wrapText="1"/>
      <protection hidden="1"/>
    </xf>
    <xf numFmtId="164" fontId="0" fillId="0" borderId="1" xfId="0" applyNumberFormat="1" applyBorder="1" applyAlignment="1" applyProtection="1">
      <alignment horizontal="center" vertical="center" wrapText="1"/>
      <protection hidden="1"/>
    </xf>
    <xf numFmtId="10" fontId="29" fillId="0" borderId="1" xfId="0" applyNumberFormat="1" applyFont="1" applyBorder="1" applyAlignment="1" applyProtection="1">
      <alignment horizontal="center" vertical="center" wrapText="1"/>
      <protection locked="0"/>
    </xf>
    <xf numFmtId="10" fontId="29" fillId="0" borderId="1" xfId="9" applyNumberFormat="1" applyFont="1" applyFill="1" applyBorder="1" applyAlignment="1" applyProtection="1">
      <alignment horizontal="center" vertical="center" wrapText="1"/>
      <protection hidden="1"/>
    </xf>
    <xf numFmtId="0" fontId="44" fillId="7" borderId="9" xfId="0" applyFont="1" applyFill="1" applyBorder="1" applyAlignment="1" applyProtection="1">
      <alignment horizontal="center" vertical="center" wrapText="1"/>
      <protection hidden="1"/>
    </xf>
    <xf numFmtId="0" fontId="29" fillId="0" borderId="3" xfId="0" applyFont="1" applyBorder="1" applyAlignment="1" applyProtection="1">
      <alignment horizontal="justify" vertical="center" wrapText="1"/>
      <protection locked="0"/>
    </xf>
    <xf numFmtId="0" fontId="0" fillId="0" borderId="3" xfId="0" applyBorder="1" applyAlignment="1" applyProtection="1">
      <alignment horizontal="justify" vertical="center" wrapText="1"/>
      <protection locked="0"/>
    </xf>
    <xf numFmtId="0" fontId="29" fillId="0" borderId="3" xfId="5" applyFont="1" applyFill="1" applyBorder="1" applyAlignment="1" applyProtection="1">
      <alignment horizontal="justify" vertical="center" wrapText="1"/>
      <protection locked="0"/>
    </xf>
    <xf numFmtId="0" fontId="0" fillId="0" borderId="3" xfId="0" applyBorder="1" applyAlignment="1">
      <alignment horizontal="justify" vertical="center" wrapText="1"/>
    </xf>
    <xf numFmtId="0" fontId="29" fillId="0" borderId="5" xfId="0" applyFont="1" applyBorder="1" applyAlignment="1" applyProtection="1">
      <alignment horizontal="justify" vertical="center" wrapText="1"/>
      <protection locked="0"/>
    </xf>
    <xf numFmtId="0" fontId="29" fillId="0" borderId="3" xfId="0" applyFont="1" applyBorder="1" applyAlignment="1" applyProtection="1">
      <alignment vertical="top" wrapText="1"/>
      <protection locked="0"/>
    </xf>
    <xf numFmtId="0" fontId="0" fillId="0" borderId="3" xfId="0" applyBorder="1" applyAlignment="1" applyProtection="1">
      <alignment horizontal="left" vertical="center" wrapText="1"/>
      <protection locked="0"/>
    </xf>
    <xf numFmtId="0" fontId="29" fillId="0" borderId="3" xfId="3" applyFont="1" applyFill="1" applyBorder="1" applyAlignment="1">
      <alignment horizontal="left" vertical="center" wrapText="1"/>
    </xf>
    <xf numFmtId="0" fontId="35" fillId="0" borderId="3" xfId="0" applyFont="1" applyBorder="1" applyAlignment="1" applyProtection="1">
      <alignment horizontal="justify" vertical="center" wrapText="1"/>
      <protection hidden="1"/>
    </xf>
    <xf numFmtId="0" fontId="55" fillId="0" borderId="3"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3" xfId="0" applyFont="1" applyBorder="1" applyAlignment="1">
      <alignment horizontal="left" vertical="top" wrapText="1"/>
    </xf>
    <xf numFmtId="0" fontId="4" fillId="0" borderId="3" xfId="0" applyFont="1" applyBorder="1" applyAlignment="1">
      <alignment horizontal="justify" vertical="top" wrapText="1"/>
    </xf>
    <xf numFmtId="0" fontId="57" fillId="0" borderId="3" xfId="0" applyFont="1" applyBorder="1" applyAlignment="1">
      <alignment horizontal="justify" vertical="center"/>
    </xf>
    <xf numFmtId="164" fontId="0" fillId="0" borderId="9" xfId="0" applyNumberFormat="1" applyBorder="1" applyAlignment="1" applyProtection="1">
      <alignment horizontal="center" vertical="center" wrapText="1"/>
      <protection hidden="1"/>
    </xf>
    <xf numFmtId="10" fontId="29" fillId="0" borderId="9" xfId="0" applyNumberFormat="1" applyFont="1" applyBorder="1" applyAlignment="1" applyProtection="1">
      <alignment horizontal="center" vertical="center" wrapText="1"/>
      <protection locked="0"/>
    </xf>
    <xf numFmtId="167" fontId="29" fillId="0" borderId="9" xfId="0" applyNumberFormat="1" applyFont="1" applyBorder="1" applyAlignment="1" applyProtection="1">
      <alignment horizontal="center" vertical="center" wrapText="1"/>
      <protection hidden="1"/>
    </xf>
    <xf numFmtId="0" fontId="48" fillId="0" borderId="9" xfId="0" applyFont="1" applyBorder="1" applyAlignment="1" applyProtection="1">
      <alignment horizontal="center" vertical="center" wrapText="1"/>
      <protection hidden="1"/>
    </xf>
    <xf numFmtId="2" fontId="0" fillId="0" borderId="9" xfId="0" applyNumberFormat="1" applyBorder="1" applyAlignment="1" applyProtection="1">
      <alignment horizontal="center" vertical="center" wrapText="1"/>
      <protection hidden="1"/>
    </xf>
    <xf numFmtId="2" fontId="22" fillId="0" borderId="9" xfId="9" applyNumberFormat="1" applyFont="1" applyFill="1" applyBorder="1" applyAlignment="1" applyProtection="1">
      <alignment horizontal="center" vertical="center" wrapText="1"/>
      <protection hidden="1"/>
    </xf>
    <xf numFmtId="10" fontId="22" fillId="0" borderId="6" xfId="9" applyNumberFormat="1" applyFont="1" applyFill="1" applyBorder="1" applyAlignment="1" applyProtection="1">
      <alignment horizontal="center" vertical="center" wrapText="1"/>
      <protection hidden="1"/>
    </xf>
    <xf numFmtId="2" fontId="22" fillId="0" borderId="6" xfId="9" applyNumberFormat="1" applyFont="1" applyFill="1" applyBorder="1" applyAlignment="1" applyProtection="1">
      <alignment horizontal="center" vertical="center" wrapText="1"/>
      <protection hidden="1"/>
    </xf>
    <xf numFmtId="165" fontId="22" fillId="0" borderId="6" xfId="9" applyNumberFormat="1" applyFont="1" applyFill="1" applyBorder="1" applyAlignment="1" applyProtection="1">
      <alignment horizontal="center" vertical="center" wrapText="1"/>
      <protection hidden="1"/>
    </xf>
    <xf numFmtId="1" fontId="22" fillId="0" borderId="6" xfId="9" applyNumberFormat="1" applyFont="1" applyFill="1" applyBorder="1" applyAlignment="1" applyProtection="1">
      <alignment horizontal="center" vertical="center" wrapText="1"/>
      <protection hidden="1"/>
    </xf>
    <xf numFmtId="164" fontId="29" fillId="0" borderId="3" xfId="9" applyNumberFormat="1" applyFont="1" applyFill="1" applyBorder="1" applyAlignment="1" applyProtection="1">
      <alignment horizontal="center" vertical="center" wrapText="1"/>
      <protection hidden="1"/>
    </xf>
    <xf numFmtId="3" fontId="29" fillId="0" borderId="9" xfId="6" applyNumberFormat="1" applyFont="1" applyFill="1" applyBorder="1" applyAlignment="1" applyProtection="1">
      <alignment horizontal="center" vertical="center" wrapText="1"/>
      <protection locked="0"/>
    </xf>
    <xf numFmtId="0" fontId="29" fillId="0" borderId="15" xfId="0" applyFont="1" applyBorder="1" applyAlignment="1" applyProtection="1">
      <alignment horizontal="justify" vertical="center" wrapText="1"/>
      <protection locked="0"/>
    </xf>
    <xf numFmtId="0" fontId="0" fillId="0" borderId="0" xfId="0" applyAlignment="1">
      <alignment horizontal="center" vertical="center" wrapText="1"/>
    </xf>
    <xf numFmtId="3" fontId="0" fillId="0" borderId="0" xfId="0" applyNumberFormat="1" applyAlignment="1">
      <alignment horizontal="center" vertical="center" wrapText="1"/>
    </xf>
    <xf numFmtId="0" fontId="29" fillId="0" borderId="1" xfId="9" applyNumberFormat="1" applyFont="1" applyBorder="1" applyAlignment="1" applyProtection="1">
      <alignment horizontal="center" vertical="center" wrapText="1"/>
      <protection hidden="1"/>
    </xf>
    <xf numFmtId="3" fontId="22" fillId="0" borderId="6" xfId="9" applyNumberFormat="1" applyFont="1" applyFill="1" applyBorder="1" applyAlignment="1" applyProtection="1">
      <alignment horizontal="center" vertical="center" wrapText="1"/>
      <protection hidden="1"/>
    </xf>
    <xf numFmtId="3" fontId="29" fillId="0" borderId="2" xfId="9" applyNumberFormat="1" applyFont="1" applyFill="1" applyBorder="1" applyAlignment="1" applyProtection="1">
      <alignment horizontal="center" vertical="center" wrapText="1"/>
      <protection hidden="1"/>
    </xf>
    <xf numFmtId="9" fontId="29" fillId="0" borderId="3" xfId="9" applyFont="1" applyBorder="1" applyAlignment="1" applyProtection="1">
      <alignment horizontal="center" vertical="center" wrapText="1"/>
      <protection hidden="1"/>
    </xf>
    <xf numFmtId="169" fontId="22" fillId="0" borderId="2" xfId="6" applyNumberFormat="1" applyFont="1" applyFill="1" applyBorder="1" applyAlignment="1" applyProtection="1">
      <alignment horizontal="center" vertical="center"/>
      <protection hidden="1"/>
    </xf>
    <xf numFmtId="169" fontId="22" fillId="0" borderId="1" xfId="6" applyNumberFormat="1" applyFont="1" applyFill="1" applyBorder="1" applyAlignment="1" applyProtection="1">
      <alignment horizontal="center" vertical="center"/>
      <protection hidden="1"/>
    </xf>
    <xf numFmtId="169" fontId="22" fillId="0" borderId="16" xfId="6" applyNumberFormat="1" applyFont="1" applyFill="1" applyBorder="1" applyAlignment="1" applyProtection="1">
      <alignment horizontal="center" vertical="center" wrapText="1"/>
      <protection hidden="1"/>
    </xf>
    <xf numFmtId="169" fontId="29" fillId="0" borderId="1" xfId="6" applyNumberFormat="1" applyFont="1" applyBorder="1" applyAlignment="1" applyProtection="1">
      <alignment horizontal="center" vertical="center" wrapText="1"/>
      <protection locked="0"/>
    </xf>
    <xf numFmtId="9" fontId="29" fillId="0" borderId="1" xfId="9" applyFont="1" applyBorder="1" applyAlignment="1" applyProtection="1">
      <alignment horizontal="center" vertical="center" wrapText="1"/>
      <protection locked="0"/>
    </xf>
    <xf numFmtId="9" fontId="0" fillId="0" borderId="16" xfId="9" applyFont="1" applyBorder="1" applyAlignment="1" applyProtection="1">
      <alignment horizontal="center" vertical="center" wrapText="1"/>
      <protection hidden="1"/>
    </xf>
    <xf numFmtId="0" fontId="52" fillId="6" borderId="2" xfId="0" applyFont="1" applyFill="1" applyBorder="1" applyAlignment="1" applyProtection="1">
      <alignment horizontal="center" vertical="center" wrapText="1"/>
      <protection locked="0"/>
    </xf>
    <xf numFmtId="0" fontId="52" fillId="6" borderId="1" xfId="0" applyFont="1" applyFill="1" applyBorder="1" applyAlignment="1" applyProtection="1">
      <alignment horizontal="center" vertical="center" wrapText="1"/>
      <protection locked="0"/>
    </xf>
    <xf numFmtId="0" fontId="52" fillId="6" borderId="1" xfId="0" applyFont="1" applyFill="1" applyBorder="1" applyAlignment="1" applyProtection="1">
      <alignment horizontal="justify" vertical="center" wrapText="1"/>
      <protection locked="0"/>
    </xf>
    <xf numFmtId="0" fontId="52" fillId="6" borderId="3" xfId="0" applyFont="1" applyFill="1" applyBorder="1" applyAlignment="1" applyProtection="1">
      <alignment horizontal="justify" vertical="center" wrapText="1"/>
      <protection locked="0"/>
    </xf>
    <xf numFmtId="0" fontId="43" fillId="6" borderId="1" xfId="0" applyFont="1" applyFill="1" applyBorder="1" applyAlignment="1" applyProtection="1">
      <alignment horizontal="justify" vertical="center" wrapText="1"/>
      <protection locked="0"/>
    </xf>
    <xf numFmtId="3" fontId="13" fillId="0" borderId="0" xfId="0" applyNumberFormat="1" applyFont="1" applyAlignment="1" applyProtection="1">
      <alignment horizontal="center" vertical="center" wrapText="1"/>
      <protection hidden="1"/>
    </xf>
    <xf numFmtId="10" fontId="29" fillId="0" borderId="1" xfId="9" applyNumberFormat="1" applyFont="1" applyBorder="1" applyAlignment="1" applyProtection="1">
      <alignment horizontal="center" vertical="center" wrapText="1"/>
      <protection hidden="1"/>
    </xf>
    <xf numFmtId="2" fontId="29" fillId="0" borderId="1" xfId="9" applyNumberFormat="1" applyFont="1" applyFill="1" applyBorder="1" applyAlignment="1" applyProtection="1">
      <alignment horizontal="center" vertical="center" wrapText="1"/>
      <protection hidden="1"/>
    </xf>
    <xf numFmtId="9" fontId="67" fillId="0" borderId="2" xfId="0" applyNumberFormat="1" applyFont="1" applyBorder="1" applyAlignment="1">
      <alignment horizontal="center" vertical="center" wrapText="1"/>
    </xf>
    <xf numFmtId="0" fontId="67" fillId="0" borderId="2" xfId="0" applyFont="1" applyBorder="1" applyAlignment="1">
      <alignment vertical="top" wrapText="1"/>
    </xf>
    <xf numFmtId="0" fontId="67" fillId="0" borderId="33" xfId="0" applyFont="1" applyBorder="1" applyAlignment="1">
      <alignment vertical="center" wrapText="1"/>
    </xf>
    <xf numFmtId="2" fontId="67" fillId="0" borderId="9" xfId="0" applyNumberFormat="1" applyFont="1" applyBorder="1" applyAlignment="1">
      <alignment horizontal="center" vertical="center" wrapText="1"/>
    </xf>
    <xf numFmtId="2" fontId="67" fillId="0" borderId="2" xfId="0" applyNumberFormat="1" applyFont="1" applyBorder="1" applyAlignment="1">
      <alignment horizontal="center" vertical="center" wrapText="1"/>
    </xf>
    <xf numFmtId="9" fontId="0" fillId="0" borderId="3" xfId="9" applyFont="1" applyBorder="1" applyAlignment="1" applyProtection="1">
      <alignment horizontal="center" vertical="center" wrapText="1"/>
      <protection hidden="1"/>
    </xf>
    <xf numFmtId="9" fontId="0" fillId="0" borderId="4" xfId="9" applyFont="1" applyBorder="1" applyAlignment="1" applyProtection="1">
      <alignment horizontal="center" vertical="center" wrapText="1"/>
      <protection hidden="1"/>
    </xf>
    <xf numFmtId="9" fontId="0" fillId="0" borderId="5" xfId="9" applyFont="1" applyBorder="1" applyAlignment="1" applyProtection="1">
      <alignment horizontal="center" vertical="center" wrapText="1"/>
      <protection hidden="1"/>
    </xf>
    <xf numFmtId="0" fontId="44" fillId="7" borderId="22" xfId="0" applyFont="1" applyFill="1" applyBorder="1" applyAlignment="1" applyProtection="1">
      <alignment horizontal="center" vertical="center"/>
      <protection hidden="1"/>
    </xf>
    <xf numFmtId="0" fontId="44" fillId="7" borderId="23" xfId="0" applyFont="1" applyFill="1" applyBorder="1" applyAlignment="1" applyProtection="1">
      <alignment horizontal="center" vertical="center"/>
      <protection hidden="1"/>
    </xf>
    <xf numFmtId="0" fontId="44" fillId="7" borderId="24" xfId="0" applyFont="1" applyFill="1" applyBorder="1" applyAlignment="1" applyProtection="1">
      <alignment horizontal="center" vertical="center"/>
      <protection hidden="1"/>
    </xf>
    <xf numFmtId="0" fontId="61" fillId="6" borderId="18" xfId="0" applyFont="1" applyFill="1" applyBorder="1" applyAlignment="1" applyProtection="1">
      <alignment horizontal="center" vertical="center"/>
      <protection hidden="1"/>
    </xf>
    <xf numFmtId="0" fontId="61" fillId="6" borderId="17" xfId="0" applyFont="1" applyFill="1" applyBorder="1" applyAlignment="1" applyProtection="1">
      <alignment horizontal="center" vertical="center"/>
      <protection hidden="1"/>
    </xf>
    <xf numFmtId="0" fontId="61" fillId="6" borderId="23" xfId="0" applyFont="1" applyFill="1" applyBorder="1" applyAlignment="1" applyProtection="1">
      <alignment horizontal="center" vertical="center"/>
      <protection hidden="1"/>
    </xf>
    <xf numFmtId="0" fontId="62" fillId="7" borderId="17" xfId="0" applyFont="1" applyFill="1" applyBorder="1" applyAlignment="1" applyProtection="1">
      <alignment horizontal="center" vertical="center"/>
      <protection hidden="1"/>
    </xf>
    <xf numFmtId="0" fontId="61" fillId="7" borderId="17" xfId="0" applyFont="1" applyFill="1" applyBorder="1" applyAlignment="1" applyProtection="1">
      <alignment horizontal="center" vertical="center"/>
      <protection hidden="1"/>
    </xf>
    <xf numFmtId="0" fontId="61" fillId="7" borderId="19" xfId="0" applyFont="1" applyFill="1" applyBorder="1" applyAlignment="1" applyProtection="1">
      <alignment horizontal="center" vertical="center"/>
      <protection hidden="1"/>
    </xf>
    <xf numFmtId="0" fontId="61" fillId="7" borderId="25" xfId="0" applyFont="1" applyFill="1" applyBorder="1" applyAlignment="1" applyProtection="1">
      <alignment horizontal="center" vertical="center"/>
      <protection hidden="1"/>
    </xf>
    <xf numFmtId="0" fontId="61" fillId="7" borderId="26" xfId="0" applyFont="1" applyFill="1" applyBorder="1" applyAlignment="1" applyProtection="1">
      <alignment horizontal="center" vertical="center"/>
      <protection hidden="1"/>
    </xf>
    <xf numFmtId="0" fontId="61" fillId="6" borderId="26" xfId="0" applyFont="1" applyFill="1" applyBorder="1" applyAlignment="1" applyProtection="1">
      <alignment horizontal="center" vertical="center"/>
      <protection hidden="1"/>
    </xf>
    <xf numFmtId="0" fontId="63" fillId="7" borderId="27" xfId="0" applyFont="1" applyFill="1" applyBorder="1" applyAlignment="1" applyProtection="1">
      <alignment horizontal="center" vertical="center" wrapText="1"/>
      <protection hidden="1"/>
    </xf>
    <xf numFmtId="0" fontId="63" fillId="7" borderId="4" xfId="0" applyFont="1" applyFill="1" applyBorder="1" applyAlignment="1" applyProtection="1">
      <alignment horizontal="center" vertical="center" wrapText="1"/>
      <protection hidden="1"/>
    </xf>
    <xf numFmtId="0" fontId="63" fillId="7" borderId="28" xfId="0" applyFont="1" applyFill="1" applyBorder="1" applyAlignment="1" applyProtection="1">
      <alignment horizontal="center" vertical="center" wrapText="1"/>
      <protection hidden="1"/>
    </xf>
    <xf numFmtId="0" fontId="63" fillId="7" borderId="10" xfId="0" applyFont="1" applyFill="1" applyBorder="1" applyAlignment="1" applyProtection="1">
      <alignment horizontal="center" vertical="center" wrapText="1"/>
      <protection hidden="1"/>
    </xf>
    <xf numFmtId="0" fontId="61" fillId="7" borderId="28" xfId="0" applyFont="1" applyFill="1" applyBorder="1" applyAlignment="1" applyProtection="1">
      <alignment horizontal="center" vertical="center"/>
      <protection hidden="1"/>
    </xf>
    <xf numFmtId="0" fontId="61" fillId="7" borderId="27" xfId="0" applyFont="1" applyFill="1" applyBorder="1" applyAlignment="1" applyProtection="1">
      <alignment horizontal="center" vertical="center"/>
      <protection hidden="1"/>
    </xf>
    <xf numFmtId="0" fontId="61" fillId="7" borderId="29" xfId="0" applyFont="1" applyFill="1" applyBorder="1" applyAlignment="1" applyProtection="1">
      <alignment horizontal="center" vertical="center"/>
      <protection hidden="1"/>
    </xf>
    <xf numFmtId="0" fontId="61" fillId="7" borderId="9" xfId="0" applyFont="1" applyFill="1" applyBorder="1" applyAlignment="1" applyProtection="1">
      <alignment horizontal="center" vertical="center"/>
      <protection hidden="1"/>
    </xf>
    <xf numFmtId="0" fontId="61" fillId="7" borderId="1" xfId="0" applyFont="1" applyFill="1" applyBorder="1" applyAlignment="1" applyProtection="1">
      <alignment horizontal="center" vertical="center"/>
      <protection hidden="1"/>
    </xf>
    <xf numFmtId="0" fontId="61" fillId="7" borderId="3" xfId="0" applyFont="1" applyFill="1" applyBorder="1" applyAlignment="1" applyProtection="1">
      <alignment horizontal="center" vertical="center"/>
      <protection hidden="1"/>
    </xf>
    <xf numFmtId="0" fontId="44" fillId="7" borderId="28" xfId="0" applyFont="1" applyFill="1" applyBorder="1" applyAlignment="1" applyProtection="1">
      <alignment horizontal="center" vertical="center"/>
      <protection hidden="1"/>
    </xf>
    <xf numFmtId="0" fontId="44" fillId="7" borderId="27" xfId="0" applyFont="1" applyFill="1" applyBorder="1" applyAlignment="1" applyProtection="1">
      <alignment horizontal="center" vertical="center"/>
      <protection hidden="1"/>
    </xf>
    <xf numFmtId="0" fontId="44" fillId="6" borderId="31" xfId="0" applyFont="1" applyFill="1" applyBorder="1" applyAlignment="1" applyProtection="1">
      <alignment horizontal="center" vertical="center"/>
      <protection hidden="1"/>
    </xf>
    <xf numFmtId="0" fontId="44" fillId="7" borderId="30" xfId="0" applyFont="1" applyFill="1" applyBorder="1" applyAlignment="1" applyProtection="1">
      <alignment horizontal="center" vertical="center"/>
      <protection hidden="1"/>
    </xf>
    <xf numFmtId="0" fontId="36" fillId="7" borderId="1" xfId="0" applyFont="1" applyFill="1" applyBorder="1" applyAlignment="1" applyProtection="1">
      <alignment horizontal="center" vertical="center"/>
      <protection hidden="1"/>
    </xf>
    <xf numFmtId="0" fontId="64" fillId="6" borderId="11" xfId="0" applyFont="1" applyFill="1" applyBorder="1" applyAlignment="1" applyProtection="1">
      <alignment horizontal="center" vertical="center"/>
      <protection hidden="1"/>
    </xf>
    <xf numFmtId="0" fontId="64" fillId="6" borderId="0" xfId="0" applyFont="1" applyFill="1" applyAlignment="1" applyProtection="1">
      <alignment horizontal="center" vertical="center"/>
      <protection hidden="1"/>
    </xf>
    <xf numFmtId="0" fontId="65" fillId="7" borderId="28" xfId="0" applyFont="1" applyFill="1" applyBorder="1" applyAlignment="1" applyProtection="1">
      <alignment horizontal="center" vertical="center"/>
      <protection hidden="1"/>
    </xf>
    <xf numFmtId="0" fontId="65" fillId="7" borderId="27" xfId="0" applyFont="1" applyFill="1" applyBorder="1" applyAlignment="1" applyProtection="1">
      <alignment horizontal="center" vertical="center"/>
      <protection hidden="1"/>
    </xf>
    <xf numFmtId="0" fontId="65" fillId="6" borderId="29" xfId="0" applyFont="1" applyFill="1" applyBorder="1" applyAlignment="1" applyProtection="1">
      <alignment horizontal="center" vertical="center"/>
      <protection hidden="1"/>
    </xf>
    <xf numFmtId="0" fontId="39" fillId="7" borderId="1" xfId="0" applyFont="1" applyFill="1" applyBorder="1" applyAlignment="1" applyProtection="1">
      <alignment horizontal="center" vertical="center"/>
      <protection hidden="1"/>
    </xf>
    <xf numFmtId="0" fontId="39" fillId="6" borderId="3" xfId="0" applyFont="1" applyFill="1" applyBorder="1" applyAlignment="1" applyProtection="1">
      <alignment horizontal="center" vertical="center"/>
      <protection hidden="1"/>
    </xf>
    <xf numFmtId="0" fontId="66" fillId="6" borderId="0" xfId="0" applyFont="1" applyFill="1" applyAlignment="1" applyProtection="1">
      <alignment horizontal="center" vertical="center"/>
      <protection hidden="1"/>
    </xf>
    <xf numFmtId="0" fontId="34" fillId="6" borderId="16" xfId="0" applyFont="1" applyFill="1" applyBorder="1" applyAlignment="1" applyProtection="1">
      <alignment horizontal="left" vertical="center"/>
      <protection hidden="1"/>
    </xf>
    <xf numFmtId="0" fontId="34" fillId="6" borderId="2" xfId="0" applyFont="1" applyFill="1" applyBorder="1" applyAlignment="1" applyProtection="1">
      <alignment horizontal="left" vertical="center"/>
      <protection hidden="1"/>
    </xf>
    <xf numFmtId="0" fontId="2" fillId="0" borderId="1" xfId="0" applyFont="1" applyBorder="1" applyAlignment="1" applyProtection="1">
      <alignment horizontal="justify" vertical="center" wrapText="1"/>
      <protection hidden="1"/>
    </xf>
    <xf numFmtId="0" fontId="4" fillId="0" borderId="1" xfId="0" applyFont="1" applyBorder="1" applyAlignment="1" applyProtection="1">
      <alignment horizontal="justify" vertical="center" wrapText="1"/>
      <protection hidden="1"/>
    </xf>
    <xf numFmtId="0" fontId="4" fillId="6" borderId="3" xfId="0" applyFont="1" applyFill="1" applyBorder="1" applyAlignment="1" applyProtection="1">
      <alignment horizontal="justify" vertical="center" wrapText="1"/>
      <protection hidden="1"/>
    </xf>
    <xf numFmtId="0" fontId="63" fillId="7" borderId="29" xfId="0" applyFont="1" applyFill="1" applyBorder="1" applyAlignment="1" applyProtection="1">
      <alignment horizontal="center" vertical="center" wrapText="1"/>
      <protection hidden="1"/>
    </xf>
    <xf numFmtId="0" fontId="63" fillId="7" borderId="5" xfId="0" applyFont="1" applyFill="1" applyBorder="1" applyAlignment="1" applyProtection="1">
      <alignment horizontal="center" vertical="center" wrapText="1"/>
      <protection hidden="1"/>
    </xf>
    <xf numFmtId="0" fontId="32" fillId="6" borderId="0" xfId="0" applyFont="1" applyFill="1" applyAlignment="1" applyProtection="1">
      <alignment horizontal="left" vertical="center"/>
      <protection hidden="1"/>
    </xf>
    <xf numFmtId="0" fontId="32" fillId="6" borderId="0" xfId="0" applyFont="1" applyFill="1" applyAlignment="1" applyProtection="1">
      <alignment horizontal="center" vertical="center"/>
      <protection hidden="1"/>
    </xf>
    <xf numFmtId="0" fontId="3" fillId="0" borderId="4" xfId="0" applyFont="1" applyBorder="1" applyAlignment="1" applyProtection="1">
      <alignment horizontal="justify" vertical="center" wrapText="1"/>
      <protection hidden="1"/>
    </xf>
    <xf numFmtId="0" fontId="4" fillId="0" borderId="4" xfId="0" applyFont="1" applyBorder="1" applyAlignment="1" applyProtection="1">
      <alignment horizontal="justify" vertical="center" wrapText="1"/>
      <protection hidden="1"/>
    </xf>
    <xf numFmtId="0" fontId="4" fillId="6" borderId="5" xfId="0" applyFont="1" applyFill="1" applyBorder="1" applyAlignment="1" applyProtection="1">
      <alignment horizontal="justify" vertical="center" wrapText="1"/>
      <protection hidden="1"/>
    </xf>
    <xf numFmtId="14" fontId="1" fillId="0" borderId="1" xfId="0" applyNumberFormat="1" applyFont="1" applyBorder="1" applyAlignment="1" applyProtection="1">
      <alignment horizontal="center" vertical="center" wrapText="1"/>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1533525</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1"/>
  <sheetViews>
    <sheetView showGridLines="0" tabSelected="1" zoomScale="70" zoomScaleNormal="70" workbookViewId="0">
      <selection activeCell="F8" sqref="F8:G8"/>
    </sheetView>
  </sheetViews>
  <sheetFormatPr baseColWidth="10" defaultColWidth="11.5" defaultRowHeight="15.75" x14ac:dyDescent="0.25"/>
  <cols>
    <col min="1" max="1" width="40.625" style="59" customWidth="1"/>
    <col min="2" max="2" width="9.125" style="55" customWidth="1"/>
    <col min="3" max="3" width="33.375" style="59" customWidth="1"/>
    <col min="4" max="4" width="24.875" style="59" customWidth="1"/>
    <col min="5" max="5" width="30.125" style="59" customWidth="1"/>
    <col min="6" max="6" width="25.75" style="55" customWidth="1"/>
    <col min="7" max="7" width="27.75" style="55" customWidth="1"/>
    <col min="8" max="8" width="15.5" style="55" customWidth="1"/>
    <col min="9" max="9" width="17.125" style="65" customWidth="1"/>
    <col min="10" max="10" width="17.375" style="65" customWidth="1"/>
    <col min="11" max="13" width="13.375" style="65" customWidth="1"/>
    <col min="14" max="14" width="19.25" style="68" customWidth="1"/>
    <col min="15" max="17" width="27.75" style="68" customWidth="1"/>
    <col min="18" max="18" width="127.625" style="67" customWidth="1"/>
    <col min="19" max="19" width="62.125" style="67" customWidth="1"/>
    <col min="20" max="22" width="17.375" style="68" hidden="1" customWidth="1"/>
    <col min="23" max="23" width="101.625" style="67" hidden="1" customWidth="1"/>
    <col min="24" max="24" width="44.375" style="67" hidden="1" customWidth="1"/>
    <col min="25" max="26" width="25.5" style="55" hidden="1" customWidth="1"/>
    <col min="27" max="27" width="28.75" style="62" hidden="1" customWidth="1"/>
    <col min="28" max="28" width="68.5" style="57" hidden="1" customWidth="1"/>
    <col min="29" max="29" width="41.375" style="57" hidden="1" customWidth="1"/>
    <col min="30" max="30" width="20.5" style="55" hidden="1" customWidth="1"/>
    <col min="31" max="31" width="21.75" style="55" hidden="1" customWidth="1"/>
    <col min="32" max="32" width="20.375" style="55" hidden="1" customWidth="1"/>
    <col min="33" max="33" width="142.625" style="57" hidden="1" customWidth="1"/>
    <col min="34" max="34" width="35.125" style="57" hidden="1" customWidth="1"/>
    <col min="35" max="35" width="18.75" style="68" customWidth="1"/>
    <col min="36" max="36" width="15.875" style="68" customWidth="1"/>
    <col min="37" max="37" width="17.875" style="68" customWidth="1"/>
    <col min="38" max="38" width="17.625" style="68" customWidth="1"/>
    <col min="39" max="39" width="18.25" style="68" customWidth="1"/>
    <col min="40" max="40" width="16" style="68" customWidth="1"/>
    <col min="41" max="42" width="21" style="68" customWidth="1"/>
    <col min="43" max="46" width="21" style="265" customWidth="1"/>
    <col min="47" max="47" width="21" style="55" customWidth="1"/>
    <col min="48" max="50" width="21" style="265" customWidth="1"/>
    <col min="51" max="53" width="21" style="55" customWidth="1"/>
    <col min="54" max="54" width="26" style="55" customWidth="1"/>
    <col min="55" max="56" width="17.25" style="59" customWidth="1"/>
    <col min="57" max="69" width="11.5" style="59" customWidth="1"/>
    <col min="70" max="16384" width="11.5" style="59"/>
  </cols>
  <sheetData>
    <row r="1" spans="1:69" s="43" customFormat="1" ht="61.5" x14ac:dyDescent="0.3">
      <c r="A1" s="40"/>
      <c r="B1" s="149"/>
      <c r="C1" s="41"/>
      <c r="D1" s="41"/>
      <c r="E1" s="41"/>
      <c r="F1" s="409" t="s">
        <v>0</v>
      </c>
      <c r="G1" s="409"/>
      <c r="H1" s="409"/>
      <c r="I1" s="409"/>
      <c r="J1" s="409"/>
      <c r="K1" s="409"/>
      <c r="L1" s="409"/>
      <c r="M1" s="409"/>
      <c r="N1" s="409"/>
      <c r="O1" s="409"/>
      <c r="P1" s="409"/>
      <c r="Q1" s="409"/>
      <c r="R1" s="409"/>
      <c r="S1" s="409"/>
      <c r="T1" s="409"/>
      <c r="U1" s="409"/>
      <c r="V1" s="409"/>
      <c r="W1" s="409"/>
      <c r="X1" s="409"/>
      <c r="Y1" s="409"/>
      <c r="Z1" s="409"/>
      <c r="AA1" s="409"/>
      <c r="AB1" s="409"/>
      <c r="AC1" s="409"/>
      <c r="AD1" s="410"/>
      <c r="AE1" s="410"/>
      <c r="AF1" s="410"/>
      <c r="AG1" s="410"/>
      <c r="AH1" s="410"/>
      <c r="AI1" s="409"/>
      <c r="AJ1" s="42"/>
      <c r="AK1" s="302"/>
      <c r="AL1" s="302"/>
      <c r="AM1" s="144"/>
      <c r="AN1" s="144"/>
      <c r="AO1" s="144"/>
      <c r="AP1" s="144"/>
      <c r="AQ1" s="44"/>
      <c r="AR1" s="44"/>
      <c r="AS1" s="44"/>
      <c r="AT1" s="44"/>
      <c r="AU1" s="44"/>
      <c r="AV1" s="44"/>
      <c r="AW1" s="44"/>
      <c r="AX1" s="44"/>
      <c r="AY1" s="44"/>
      <c r="AZ1" s="44"/>
      <c r="BA1" s="45" t="s">
        <v>1</v>
      </c>
      <c r="BB1" s="46" t="s">
        <v>2</v>
      </c>
      <c r="BC1" s="47"/>
      <c r="BD1" s="47"/>
      <c r="BE1" s="47"/>
      <c r="BF1" s="47"/>
      <c r="BG1" s="47"/>
      <c r="BH1" s="47"/>
      <c r="BI1" s="47"/>
      <c r="BJ1" s="47"/>
      <c r="BK1" s="47"/>
      <c r="BL1" s="47"/>
      <c r="BM1" s="47"/>
      <c r="BN1" s="47"/>
      <c r="BO1" s="47"/>
      <c r="BP1" s="303"/>
      <c r="BQ1" s="303"/>
    </row>
    <row r="2" spans="1:69" s="43" customFormat="1" ht="61.5" x14ac:dyDescent="0.3">
      <c r="A2" s="40"/>
      <c r="B2" s="149"/>
      <c r="C2" s="41"/>
      <c r="D2" s="41"/>
      <c r="E2" s="41"/>
      <c r="F2" s="409"/>
      <c r="G2" s="409"/>
      <c r="H2" s="409"/>
      <c r="I2" s="409"/>
      <c r="J2" s="409"/>
      <c r="K2" s="409"/>
      <c r="L2" s="409"/>
      <c r="M2" s="409"/>
      <c r="N2" s="409"/>
      <c r="O2" s="409"/>
      <c r="P2" s="409"/>
      <c r="Q2" s="409"/>
      <c r="R2" s="409"/>
      <c r="S2" s="409"/>
      <c r="T2" s="409"/>
      <c r="U2" s="409"/>
      <c r="V2" s="409"/>
      <c r="W2" s="409"/>
      <c r="X2" s="409"/>
      <c r="Y2" s="409"/>
      <c r="Z2" s="409"/>
      <c r="AA2" s="409"/>
      <c r="AB2" s="409"/>
      <c r="AC2" s="409"/>
      <c r="AD2" s="410"/>
      <c r="AE2" s="410"/>
      <c r="AF2" s="410"/>
      <c r="AG2" s="410"/>
      <c r="AH2" s="410"/>
      <c r="AI2" s="409"/>
      <c r="AJ2" s="42"/>
      <c r="AK2" s="302"/>
      <c r="AL2" s="302"/>
      <c r="AM2" s="144"/>
      <c r="AN2" s="144"/>
      <c r="AO2" s="144"/>
      <c r="AP2" s="144"/>
      <c r="AQ2" s="44"/>
      <c r="AR2" s="44"/>
      <c r="AS2" s="44"/>
      <c r="AT2" s="44"/>
      <c r="AU2" s="44"/>
      <c r="AV2" s="44"/>
      <c r="AW2" s="44"/>
      <c r="AX2" s="44"/>
      <c r="AY2" s="44"/>
      <c r="AZ2" s="44"/>
      <c r="BA2" s="45" t="s">
        <v>3</v>
      </c>
      <c r="BB2" s="46">
        <v>2</v>
      </c>
      <c r="BC2" s="47"/>
      <c r="BD2" s="47"/>
      <c r="BE2" s="47"/>
      <c r="BF2" s="47"/>
      <c r="BG2" s="47"/>
      <c r="BH2" s="47"/>
      <c r="BI2" s="47"/>
      <c r="BJ2" s="47"/>
      <c r="BK2" s="47"/>
      <c r="BL2" s="47"/>
      <c r="BM2" s="47"/>
      <c r="BN2" s="47"/>
      <c r="BO2" s="47"/>
      <c r="BP2" s="303"/>
      <c r="BQ2" s="303"/>
    </row>
    <row r="3" spans="1:69" s="43" customFormat="1" ht="61.5" x14ac:dyDescent="0.3">
      <c r="A3" s="40"/>
      <c r="B3" s="149"/>
      <c r="C3" s="41"/>
      <c r="D3" s="41"/>
      <c r="E3" s="41"/>
      <c r="F3" s="409"/>
      <c r="G3" s="409"/>
      <c r="H3" s="409"/>
      <c r="I3" s="409"/>
      <c r="J3" s="409"/>
      <c r="K3" s="409"/>
      <c r="L3" s="409"/>
      <c r="M3" s="409"/>
      <c r="N3" s="409"/>
      <c r="O3" s="409"/>
      <c r="P3" s="409"/>
      <c r="Q3" s="409"/>
      <c r="R3" s="409"/>
      <c r="S3" s="409"/>
      <c r="T3" s="409"/>
      <c r="U3" s="409"/>
      <c r="V3" s="409"/>
      <c r="W3" s="409"/>
      <c r="X3" s="409"/>
      <c r="Y3" s="409"/>
      <c r="Z3" s="409"/>
      <c r="AA3" s="409"/>
      <c r="AB3" s="409"/>
      <c r="AC3" s="409"/>
      <c r="AD3" s="410"/>
      <c r="AE3" s="410"/>
      <c r="AF3" s="410"/>
      <c r="AG3" s="410"/>
      <c r="AH3" s="410"/>
      <c r="AI3" s="409"/>
      <c r="AJ3" s="42"/>
      <c r="AK3" s="302"/>
      <c r="AL3" s="302"/>
      <c r="AM3" s="145"/>
      <c r="AN3" s="145"/>
      <c r="AO3" s="145"/>
      <c r="AP3" s="145"/>
      <c r="AQ3" s="48"/>
      <c r="AR3" s="48"/>
      <c r="AS3" s="48"/>
      <c r="AT3" s="48"/>
      <c r="AU3" s="48"/>
      <c r="AV3" s="48"/>
      <c r="AW3" s="48"/>
      <c r="AX3" s="48"/>
      <c r="AY3" s="48"/>
      <c r="AZ3" s="48"/>
      <c r="BA3" s="45" t="s">
        <v>4</v>
      </c>
      <c r="BB3" s="49" t="s">
        <v>5</v>
      </c>
      <c r="BC3" s="47"/>
      <c r="BD3" s="47"/>
      <c r="BE3" s="47"/>
      <c r="BF3" s="47"/>
      <c r="BG3" s="47"/>
      <c r="BH3" s="47"/>
      <c r="BI3" s="47"/>
      <c r="BJ3" s="47"/>
      <c r="BK3" s="47"/>
      <c r="BL3" s="47"/>
      <c r="BM3" s="47"/>
      <c r="BN3" s="47"/>
      <c r="BO3" s="47"/>
      <c r="BP3" s="303"/>
      <c r="BQ3" s="303"/>
    </row>
    <row r="4" spans="1:69" s="43" customFormat="1" ht="61.5" x14ac:dyDescent="0.25">
      <c r="A4" s="40"/>
      <c r="B4" s="149"/>
      <c r="C4" s="41"/>
      <c r="D4" s="41"/>
      <c r="E4" s="41"/>
      <c r="F4" s="409"/>
      <c r="G4" s="409"/>
      <c r="H4" s="409"/>
      <c r="I4" s="409"/>
      <c r="J4" s="409"/>
      <c r="K4" s="409"/>
      <c r="L4" s="409"/>
      <c r="M4" s="409"/>
      <c r="N4" s="409"/>
      <c r="O4" s="409"/>
      <c r="P4" s="409"/>
      <c r="Q4" s="409"/>
      <c r="R4" s="409"/>
      <c r="S4" s="409"/>
      <c r="T4" s="409"/>
      <c r="U4" s="409"/>
      <c r="V4" s="409"/>
      <c r="W4" s="409"/>
      <c r="X4" s="409"/>
      <c r="Y4" s="409"/>
      <c r="Z4" s="409"/>
      <c r="AA4" s="409"/>
      <c r="AB4" s="409"/>
      <c r="AC4" s="409"/>
      <c r="AD4" s="410"/>
      <c r="AE4" s="410"/>
      <c r="AF4" s="410"/>
      <c r="AG4" s="410"/>
      <c r="AH4" s="410"/>
      <c r="AI4" s="409"/>
      <c r="AJ4" s="42"/>
      <c r="AK4" s="302"/>
      <c r="AL4" s="302"/>
      <c r="AM4" s="146"/>
      <c r="AN4" s="146"/>
      <c r="AO4" s="146"/>
      <c r="AP4" s="146"/>
      <c r="AQ4" s="263"/>
      <c r="AR4" s="263"/>
      <c r="AS4" s="263"/>
      <c r="AT4" s="263"/>
      <c r="AU4" s="50"/>
      <c r="AV4" s="263"/>
      <c r="AW4" s="263"/>
      <c r="AX4" s="263"/>
      <c r="AY4" s="50"/>
      <c r="AZ4" s="50"/>
      <c r="BA4" s="50" t="s">
        <v>6</v>
      </c>
      <c r="BB4" s="51">
        <v>160202</v>
      </c>
      <c r="BC4" s="47"/>
      <c r="BD4" s="47"/>
      <c r="BE4" s="47"/>
      <c r="BF4" s="47"/>
      <c r="BG4" s="47"/>
      <c r="BH4" s="47"/>
      <c r="BI4" s="47"/>
      <c r="BJ4" s="47"/>
      <c r="BK4" s="47"/>
      <c r="BL4" s="47"/>
      <c r="BM4" s="47"/>
      <c r="BN4" s="47"/>
      <c r="BO4" s="47"/>
      <c r="BP4" s="303"/>
      <c r="BQ4" s="303"/>
    </row>
    <row r="5" spans="1:69" s="43" customFormat="1" ht="61.5" x14ac:dyDescent="0.2">
      <c r="A5" s="40"/>
      <c r="B5" s="149"/>
      <c r="C5" s="41"/>
      <c r="D5" s="41"/>
      <c r="E5" s="41"/>
      <c r="F5" s="409"/>
      <c r="G5" s="409"/>
      <c r="H5" s="409"/>
      <c r="I5" s="409"/>
      <c r="J5" s="409"/>
      <c r="K5" s="409"/>
      <c r="L5" s="409"/>
      <c r="M5" s="409"/>
      <c r="N5" s="409"/>
      <c r="O5" s="409"/>
      <c r="P5" s="409"/>
      <c r="Q5" s="409"/>
      <c r="R5" s="409"/>
      <c r="S5" s="409"/>
      <c r="T5" s="409"/>
      <c r="U5" s="409"/>
      <c r="V5" s="409"/>
      <c r="W5" s="409"/>
      <c r="X5" s="409"/>
      <c r="Y5" s="409"/>
      <c r="Z5" s="409"/>
      <c r="AA5" s="409"/>
      <c r="AB5" s="409"/>
      <c r="AC5" s="409"/>
      <c r="AD5" s="410"/>
      <c r="AE5" s="410"/>
      <c r="AF5" s="410"/>
      <c r="AG5" s="410"/>
      <c r="AH5" s="410"/>
      <c r="AI5" s="409"/>
      <c r="AJ5" s="42"/>
      <c r="AK5" s="42"/>
      <c r="AL5" s="42"/>
      <c r="AM5" s="42"/>
      <c r="AN5" s="42"/>
      <c r="AO5" s="42"/>
      <c r="AP5" s="42"/>
      <c r="AQ5" s="264"/>
      <c r="AR5" s="264"/>
      <c r="AS5" s="264"/>
      <c r="AT5" s="264"/>
      <c r="AU5" s="42"/>
      <c r="AV5" s="264"/>
      <c r="AW5" s="264"/>
      <c r="AX5" s="264"/>
      <c r="AY5" s="42"/>
      <c r="AZ5" s="42"/>
      <c r="BA5" s="42"/>
      <c r="BB5" s="42"/>
      <c r="BC5" s="47"/>
      <c r="BD5" s="47"/>
      <c r="BE5" s="47"/>
      <c r="BF5" s="47"/>
      <c r="BG5" s="47"/>
      <c r="BH5" s="47"/>
      <c r="BI5" s="47"/>
      <c r="BJ5" s="47"/>
      <c r="BK5" s="47"/>
      <c r="BL5" s="47"/>
      <c r="BM5" s="47"/>
      <c r="BN5" s="47"/>
      <c r="BO5" s="47"/>
      <c r="BP5" s="52"/>
      <c r="BQ5" s="53"/>
    </row>
    <row r="7" spans="1:69" ht="28.5" x14ac:dyDescent="0.25">
      <c r="A7" s="393" t="s">
        <v>7</v>
      </c>
      <c r="B7" s="393"/>
      <c r="C7" s="393"/>
      <c r="D7" s="393"/>
      <c r="E7" s="393"/>
      <c r="F7" s="402" t="s">
        <v>8</v>
      </c>
      <c r="G7" s="403"/>
      <c r="H7" s="54"/>
      <c r="I7" s="54"/>
      <c r="J7" s="54"/>
      <c r="K7" s="54"/>
      <c r="L7" s="54"/>
      <c r="M7" s="54"/>
      <c r="N7" s="54"/>
      <c r="O7" s="54"/>
      <c r="P7" s="54"/>
      <c r="Q7" s="54"/>
      <c r="R7" s="58"/>
      <c r="S7" s="58"/>
      <c r="T7" s="54"/>
      <c r="U7" s="54"/>
      <c r="V7" s="54"/>
      <c r="W7" s="58"/>
      <c r="X7" s="58"/>
      <c r="Z7" s="56"/>
      <c r="AA7" s="56"/>
      <c r="AC7" s="58"/>
      <c r="AD7" s="54"/>
      <c r="AE7" s="54"/>
      <c r="AF7" s="54"/>
      <c r="AG7" s="58"/>
      <c r="AH7" s="58"/>
      <c r="AI7" s="54"/>
    </row>
    <row r="8" spans="1:69" ht="28.5" x14ac:dyDescent="0.25">
      <c r="A8" s="393" t="s">
        <v>9</v>
      </c>
      <c r="B8" s="393"/>
      <c r="C8" s="393"/>
      <c r="D8" s="393"/>
      <c r="E8" s="393"/>
      <c r="F8" s="402" t="s">
        <v>195</v>
      </c>
      <c r="G8" s="403"/>
      <c r="H8" s="54"/>
      <c r="I8" s="54"/>
      <c r="J8" s="54"/>
      <c r="K8" s="54"/>
      <c r="L8" s="54"/>
      <c r="M8" s="54"/>
      <c r="N8" s="54"/>
      <c r="O8" s="54"/>
      <c r="P8" s="54"/>
      <c r="Q8" s="54"/>
      <c r="R8" s="58"/>
      <c r="S8" s="58"/>
      <c r="T8" s="54"/>
      <c r="U8" s="54"/>
      <c r="V8" s="54"/>
      <c r="W8" s="58"/>
      <c r="X8" s="58"/>
      <c r="Z8" s="56"/>
      <c r="AA8" s="56"/>
      <c r="AC8" s="58"/>
      <c r="AD8" s="54"/>
      <c r="AE8" s="54"/>
      <c r="AF8" s="54"/>
      <c r="AG8" s="58"/>
      <c r="AH8" s="58"/>
      <c r="AI8" s="147"/>
    </row>
    <row r="9" spans="1:69" ht="28.5" x14ac:dyDescent="0.25">
      <c r="A9" s="56"/>
      <c r="B9" s="56"/>
      <c r="C9" s="56"/>
      <c r="D9" s="56"/>
      <c r="E9" s="56"/>
      <c r="F9" s="56"/>
      <c r="G9" s="56"/>
      <c r="H9" s="56"/>
      <c r="I9" s="56"/>
      <c r="J9" s="56"/>
      <c r="K9" s="56"/>
      <c r="L9" s="56"/>
      <c r="M9" s="56"/>
      <c r="N9" s="56"/>
      <c r="O9" s="56"/>
      <c r="P9" s="56"/>
      <c r="Q9" s="56"/>
      <c r="R9" s="120"/>
      <c r="S9" s="120"/>
      <c r="T9" s="56"/>
      <c r="U9" s="56"/>
      <c r="V9" s="56"/>
      <c r="W9" s="120"/>
      <c r="X9" s="120"/>
      <c r="Y9" s="56"/>
      <c r="Z9" s="56"/>
      <c r="AA9" s="56"/>
      <c r="AB9" s="60"/>
      <c r="AC9" s="60"/>
      <c r="AD9" s="61"/>
      <c r="AE9" s="61"/>
      <c r="AF9" s="61"/>
      <c r="AG9" s="60"/>
      <c r="AH9" s="60"/>
    </row>
    <row r="10" spans="1:69" ht="28.5" x14ac:dyDescent="0.25">
      <c r="A10" s="56"/>
      <c r="B10" s="56"/>
      <c r="C10" s="56"/>
      <c r="D10" s="56"/>
      <c r="E10" s="56"/>
      <c r="F10" s="56"/>
      <c r="G10" s="56"/>
      <c r="H10" s="56"/>
      <c r="I10" s="56"/>
      <c r="J10" s="56"/>
      <c r="K10" s="56"/>
      <c r="L10" s="56"/>
      <c r="M10" s="56"/>
      <c r="N10" s="56"/>
      <c r="O10" s="56"/>
      <c r="P10" s="56"/>
      <c r="Q10" s="56"/>
      <c r="R10" s="120"/>
      <c r="S10" s="120"/>
      <c r="T10" s="56"/>
      <c r="U10" s="56"/>
      <c r="V10" s="56"/>
      <c r="W10" s="120"/>
      <c r="X10" s="120"/>
      <c r="Y10" s="56"/>
      <c r="Z10" s="56"/>
      <c r="AA10" s="56"/>
      <c r="AB10" s="60"/>
      <c r="AC10" s="60"/>
      <c r="AD10" s="61"/>
      <c r="AE10" s="61"/>
      <c r="AF10" s="61"/>
      <c r="AG10" s="60"/>
      <c r="AH10" s="60"/>
    </row>
    <row r="11" spans="1:69" ht="28.5" x14ac:dyDescent="0.25">
      <c r="A11" s="56"/>
      <c r="B11" s="56"/>
      <c r="C11" s="56"/>
      <c r="D11" s="56"/>
      <c r="E11" s="56"/>
      <c r="F11" s="56"/>
      <c r="G11" s="56"/>
      <c r="H11" s="56"/>
      <c r="I11" s="56"/>
      <c r="J11" s="56"/>
      <c r="K11" s="56"/>
      <c r="L11" s="56"/>
      <c r="M11" s="56"/>
      <c r="N11" s="56"/>
      <c r="O11" s="56"/>
      <c r="P11" s="56"/>
      <c r="Q11" s="56"/>
      <c r="R11" s="120"/>
      <c r="S11" s="120"/>
      <c r="T11" s="56"/>
      <c r="U11" s="56"/>
      <c r="V11" s="56"/>
      <c r="W11" s="120"/>
      <c r="X11" s="120"/>
      <c r="Y11" s="56"/>
      <c r="Z11" s="56"/>
      <c r="AA11" s="56"/>
      <c r="AB11" s="60"/>
    </row>
    <row r="12" spans="1:69" ht="29.25" thickBot="1" x14ac:dyDescent="0.3">
      <c r="A12" s="56"/>
      <c r="B12" s="56"/>
      <c r="C12" s="56"/>
      <c r="D12" s="56"/>
      <c r="E12" s="56"/>
      <c r="F12" s="56"/>
      <c r="G12" s="56"/>
      <c r="H12" s="56"/>
      <c r="I12" s="56"/>
      <c r="J12" s="56"/>
      <c r="K12" s="56"/>
      <c r="L12" s="56"/>
      <c r="M12" s="56"/>
      <c r="N12" s="56"/>
      <c r="O12" s="56"/>
      <c r="P12" s="56"/>
      <c r="Q12" s="56"/>
      <c r="R12" s="120"/>
      <c r="S12" s="120"/>
      <c r="T12" s="56"/>
      <c r="U12" s="56"/>
      <c r="V12" s="56"/>
      <c r="W12" s="120"/>
      <c r="X12" s="120"/>
      <c r="Y12" s="56"/>
    </row>
    <row r="13" spans="1:69" ht="28.5" x14ac:dyDescent="0.25">
      <c r="A13" s="63" t="s">
        <v>10</v>
      </c>
      <c r="B13" s="56"/>
      <c r="C13" s="56"/>
      <c r="D13" s="56"/>
      <c r="E13" s="56"/>
      <c r="F13" s="56"/>
      <c r="G13" s="56"/>
      <c r="H13" s="396" t="s">
        <v>11</v>
      </c>
      <c r="I13" s="397"/>
      <c r="J13" s="397"/>
      <c r="K13" s="397"/>
      <c r="L13" s="397"/>
      <c r="M13" s="397"/>
      <c r="N13" s="398"/>
      <c r="O13" s="56"/>
      <c r="P13" s="56"/>
      <c r="Q13" s="56"/>
      <c r="R13" s="120"/>
      <c r="S13" s="120"/>
      <c r="T13" s="56"/>
      <c r="U13" s="56"/>
      <c r="V13" s="56"/>
      <c r="W13" s="120"/>
      <c r="X13" s="120"/>
      <c r="Y13" s="56"/>
    </row>
    <row r="14" spans="1:69" ht="28.5" x14ac:dyDescent="0.25">
      <c r="A14" s="63" t="s">
        <v>12</v>
      </c>
      <c r="H14" s="64" t="s">
        <v>13</v>
      </c>
      <c r="I14" s="258" t="s">
        <v>14</v>
      </c>
      <c r="J14" s="399" t="s">
        <v>15</v>
      </c>
      <c r="K14" s="399"/>
      <c r="L14" s="399"/>
      <c r="M14" s="399"/>
      <c r="N14" s="400"/>
      <c r="O14" s="56"/>
      <c r="P14" s="56"/>
      <c r="Q14" s="56"/>
      <c r="R14" s="120"/>
      <c r="S14" s="120"/>
      <c r="T14" s="56"/>
      <c r="U14" s="56"/>
      <c r="V14" s="56"/>
      <c r="W14" s="120"/>
      <c r="X14" s="120"/>
    </row>
    <row r="15" spans="1:69" ht="115.5" customHeight="1" x14ac:dyDescent="0.25">
      <c r="A15" s="63" t="s">
        <v>16</v>
      </c>
      <c r="H15" s="291">
        <v>1</v>
      </c>
      <c r="I15" s="414" t="s">
        <v>270</v>
      </c>
      <c r="J15" s="404" t="s">
        <v>269</v>
      </c>
      <c r="K15" s="405"/>
      <c r="L15" s="405"/>
      <c r="M15" s="405"/>
      <c r="N15" s="406"/>
      <c r="O15" s="56"/>
      <c r="P15" s="56"/>
      <c r="Q15" s="56"/>
      <c r="R15" s="120"/>
      <c r="S15" s="120"/>
      <c r="T15" s="56"/>
      <c r="U15" s="56"/>
      <c r="V15" s="56"/>
      <c r="W15" s="120"/>
      <c r="X15" s="120"/>
      <c r="AB15" s="401"/>
      <c r="AC15" s="401"/>
      <c r="AD15" s="401"/>
      <c r="AE15" s="401"/>
      <c r="AF15" s="401"/>
      <c r="AG15" s="401"/>
      <c r="AH15" s="401"/>
      <c r="AI15" s="401"/>
    </row>
    <row r="16" spans="1:69" ht="27" customHeight="1" thickBot="1" x14ac:dyDescent="0.3">
      <c r="A16" s="66"/>
      <c r="H16" s="292"/>
      <c r="I16" s="293"/>
      <c r="J16" s="411"/>
      <c r="K16" s="412"/>
      <c r="L16" s="412"/>
      <c r="M16" s="412"/>
      <c r="N16" s="413"/>
      <c r="AN16" s="182"/>
    </row>
    <row r="17" spans="1:65" x14ac:dyDescent="0.25">
      <c r="A17" s="66"/>
      <c r="AR17" s="277"/>
    </row>
    <row r="18" spans="1:65" s="70" customFormat="1" ht="27" thickBot="1" x14ac:dyDescent="0.3">
      <c r="A18" s="394"/>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148"/>
      <c r="AJ18" s="148"/>
      <c r="AK18" s="148"/>
      <c r="AL18" s="148"/>
      <c r="AM18" s="148"/>
      <c r="AN18" s="148"/>
      <c r="AO18" s="148"/>
      <c r="AP18" s="148"/>
      <c r="AQ18" s="266"/>
      <c r="AR18" s="266"/>
      <c r="AS18" s="266"/>
      <c r="AT18" s="266"/>
      <c r="AU18" s="69"/>
      <c r="AV18" s="266"/>
      <c r="AW18" s="266"/>
      <c r="AX18" s="266"/>
      <c r="AY18" s="69"/>
      <c r="AZ18" s="69"/>
      <c r="BA18" s="69"/>
      <c r="BB18" s="69"/>
    </row>
    <row r="19" spans="1:65" s="70" customFormat="1" ht="27" thickBot="1" x14ac:dyDescent="0.3">
      <c r="A19" s="376" t="s">
        <v>17</v>
      </c>
      <c r="B19" s="377"/>
      <c r="C19" s="377"/>
      <c r="D19" s="377"/>
      <c r="E19" s="377"/>
      <c r="F19" s="377"/>
      <c r="G19" s="377"/>
      <c r="H19" s="377"/>
      <c r="I19" s="377"/>
      <c r="J19" s="377"/>
      <c r="K19" s="377"/>
      <c r="L19" s="377"/>
      <c r="M19" s="377"/>
      <c r="N19" s="378"/>
      <c r="O19" s="383" t="s">
        <v>196</v>
      </c>
      <c r="P19" s="384"/>
      <c r="Q19" s="384"/>
      <c r="R19" s="384"/>
      <c r="S19" s="385"/>
      <c r="T19" s="383" t="s">
        <v>197</v>
      </c>
      <c r="U19" s="384"/>
      <c r="V19" s="384"/>
      <c r="W19" s="384"/>
      <c r="X19" s="385"/>
      <c r="Y19" s="383" t="s">
        <v>198</v>
      </c>
      <c r="Z19" s="384"/>
      <c r="AA19" s="384"/>
      <c r="AB19" s="384"/>
      <c r="AC19" s="385"/>
      <c r="AD19" s="383" t="s">
        <v>199</v>
      </c>
      <c r="AE19" s="384"/>
      <c r="AF19" s="384"/>
      <c r="AG19" s="384"/>
      <c r="AH19" s="385"/>
      <c r="AI19" s="370" t="s">
        <v>18</v>
      </c>
      <c r="AJ19" s="371"/>
      <c r="AK19" s="371"/>
      <c r="AL19" s="371"/>
      <c r="AM19" s="372"/>
      <c r="AN19" s="372"/>
      <c r="AO19" s="372"/>
      <c r="AP19" s="372"/>
      <c r="AQ19" s="373"/>
      <c r="AR19" s="373"/>
      <c r="AS19" s="373"/>
      <c r="AT19" s="373"/>
      <c r="AU19" s="374"/>
      <c r="AV19" s="373"/>
      <c r="AW19" s="373"/>
      <c r="AX19" s="373"/>
      <c r="AY19" s="374"/>
      <c r="AZ19" s="374"/>
      <c r="BA19" s="374"/>
      <c r="BB19" s="375"/>
      <c r="BC19" s="71"/>
      <c r="BD19" s="71"/>
      <c r="BE19" s="71"/>
      <c r="BF19" s="71"/>
      <c r="BG19" s="71"/>
    </row>
    <row r="20" spans="1:65" s="73" customFormat="1" ht="19.5" thickBot="1" x14ac:dyDescent="0.3">
      <c r="A20" s="381" t="s">
        <v>19</v>
      </c>
      <c r="B20" s="379" t="s">
        <v>20</v>
      </c>
      <c r="C20" s="379" t="s">
        <v>21</v>
      </c>
      <c r="D20" s="379" t="s">
        <v>22</v>
      </c>
      <c r="E20" s="379" t="s">
        <v>23</v>
      </c>
      <c r="F20" s="379" t="s">
        <v>24</v>
      </c>
      <c r="G20" s="379" t="s">
        <v>25</v>
      </c>
      <c r="H20" s="407" t="s">
        <v>26</v>
      </c>
      <c r="I20" s="389" t="s">
        <v>27</v>
      </c>
      <c r="J20" s="390"/>
      <c r="K20" s="390"/>
      <c r="L20" s="390"/>
      <c r="M20" s="390"/>
      <c r="N20" s="391"/>
      <c r="O20" s="386"/>
      <c r="P20" s="387"/>
      <c r="Q20" s="387"/>
      <c r="R20" s="387"/>
      <c r="S20" s="388"/>
      <c r="T20" s="386"/>
      <c r="U20" s="387"/>
      <c r="V20" s="387"/>
      <c r="W20" s="387"/>
      <c r="X20" s="388"/>
      <c r="Y20" s="386"/>
      <c r="Z20" s="387"/>
      <c r="AA20" s="387"/>
      <c r="AB20" s="387"/>
      <c r="AC20" s="388"/>
      <c r="AD20" s="386"/>
      <c r="AE20" s="387"/>
      <c r="AF20" s="387"/>
      <c r="AG20" s="387"/>
      <c r="AH20" s="388"/>
      <c r="AI20" s="392" t="s">
        <v>28</v>
      </c>
      <c r="AJ20" s="368"/>
      <c r="AK20" s="368"/>
      <c r="AL20" s="369"/>
      <c r="AM20" s="367" t="s">
        <v>29</v>
      </c>
      <c r="AN20" s="368"/>
      <c r="AO20" s="368"/>
      <c r="AP20" s="369"/>
      <c r="AQ20" s="392" t="s">
        <v>30</v>
      </c>
      <c r="AR20" s="368"/>
      <c r="AS20" s="368"/>
      <c r="AT20" s="369"/>
      <c r="AU20" s="367" t="s">
        <v>31</v>
      </c>
      <c r="AV20" s="368"/>
      <c r="AW20" s="368"/>
      <c r="AX20" s="369"/>
      <c r="AY20" s="367" t="s">
        <v>32</v>
      </c>
      <c r="AZ20" s="368"/>
      <c r="BA20" s="368"/>
      <c r="BB20" s="369"/>
      <c r="BC20" s="72"/>
      <c r="BD20" s="72"/>
      <c r="BE20" s="72"/>
      <c r="BF20" s="72"/>
      <c r="BG20" s="72"/>
    </row>
    <row r="21" spans="1:65" s="76" customFormat="1" ht="57" thickBot="1" x14ac:dyDescent="0.3">
      <c r="A21" s="382"/>
      <c r="B21" s="380"/>
      <c r="C21" s="380"/>
      <c r="D21" s="380"/>
      <c r="E21" s="380"/>
      <c r="F21" s="380"/>
      <c r="G21" s="380"/>
      <c r="H21" s="408"/>
      <c r="I21" s="134" t="s">
        <v>33</v>
      </c>
      <c r="J21" s="135" t="s">
        <v>34</v>
      </c>
      <c r="K21" s="135" t="s">
        <v>35</v>
      </c>
      <c r="L21" s="135" t="s">
        <v>36</v>
      </c>
      <c r="M21" s="135" t="s">
        <v>37</v>
      </c>
      <c r="N21" s="246" t="s">
        <v>38</v>
      </c>
      <c r="O21" s="311" t="s">
        <v>39</v>
      </c>
      <c r="P21" s="250" t="s">
        <v>40</v>
      </c>
      <c r="Q21" s="251" t="s">
        <v>41</v>
      </c>
      <c r="R21" s="250" t="s">
        <v>42</v>
      </c>
      <c r="S21" s="253" t="s">
        <v>43</v>
      </c>
      <c r="T21" s="311" t="s">
        <v>39</v>
      </c>
      <c r="U21" s="250" t="s">
        <v>40</v>
      </c>
      <c r="V21" s="251" t="s">
        <v>41</v>
      </c>
      <c r="W21" s="250" t="s">
        <v>42</v>
      </c>
      <c r="X21" s="253" t="s">
        <v>43</v>
      </c>
      <c r="Y21" s="311" t="s">
        <v>39</v>
      </c>
      <c r="Z21" s="250" t="s">
        <v>40</v>
      </c>
      <c r="AA21" s="251" t="s">
        <v>41</v>
      </c>
      <c r="AB21" s="250" t="s">
        <v>42</v>
      </c>
      <c r="AC21" s="253" t="s">
        <v>43</v>
      </c>
      <c r="AD21" s="311" t="s">
        <v>39</v>
      </c>
      <c r="AE21" s="250" t="s">
        <v>40</v>
      </c>
      <c r="AF21" s="251" t="s">
        <v>41</v>
      </c>
      <c r="AG21" s="250" t="s">
        <v>42</v>
      </c>
      <c r="AH21" s="253" t="s">
        <v>43</v>
      </c>
      <c r="AI21" s="163" t="s">
        <v>44</v>
      </c>
      <c r="AJ21" s="164" t="s">
        <v>45</v>
      </c>
      <c r="AK21" s="164" t="s">
        <v>46</v>
      </c>
      <c r="AL21" s="165" t="s">
        <v>47</v>
      </c>
      <c r="AM21" s="166" t="s">
        <v>44</v>
      </c>
      <c r="AN21" s="164" t="s">
        <v>45</v>
      </c>
      <c r="AO21" s="164" t="s">
        <v>48</v>
      </c>
      <c r="AP21" s="165" t="s">
        <v>47</v>
      </c>
      <c r="AQ21" s="163" t="s">
        <v>44</v>
      </c>
      <c r="AR21" s="164" t="s">
        <v>45</v>
      </c>
      <c r="AS21" s="164" t="s">
        <v>49</v>
      </c>
      <c r="AT21" s="165" t="s">
        <v>47</v>
      </c>
      <c r="AU21" s="166" t="s">
        <v>44</v>
      </c>
      <c r="AV21" s="164" t="s">
        <v>45</v>
      </c>
      <c r="AW21" s="164" t="s">
        <v>50</v>
      </c>
      <c r="AX21" s="165" t="s">
        <v>47</v>
      </c>
      <c r="AY21" s="166" t="s">
        <v>44</v>
      </c>
      <c r="AZ21" s="164" t="s">
        <v>45</v>
      </c>
      <c r="BA21" s="164" t="s">
        <v>51</v>
      </c>
      <c r="BB21" s="165" t="s">
        <v>47</v>
      </c>
      <c r="BC21" s="74"/>
      <c r="BD21" s="75"/>
      <c r="BE21" s="75"/>
      <c r="BF21" s="75"/>
      <c r="BG21" s="75"/>
      <c r="BM21" s="74" t="s">
        <v>10</v>
      </c>
    </row>
    <row r="22" spans="1:65" s="79" customFormat="1" ht="280.5" customHeight="1" x14ac:dyDescent="0.25">
      <c r="A22" s="191" t="s">
        <v>52</v>
      </c>
      <c r="B22" s="168">
        <v>1</v>
      </c>
      <c r="C22" s="130" t="s">
        <v>53</v>
      </c>
      <c r="D22" s="131" t="s">
        <v>54</v>
      </c>
      <c r="E22" s="131" t="s">
        <v>55</v>
      </c>
      <c r="F22" s="131" t="s">
        <v>56</v>
      </c>
      <c r="G22" s="192" t="s">
        <v>10</v>
      </c>
      <c r="H22" s="132" t="s">
        <v>57</v>
      </c>
      <c r="I22" s="299" t="s">
        <v>58</v>
      </c>
      <c r="J22" s="245" t="s">
        <v>59</v>
      </c>
      <c r="K22" s="245" t="s">
        <v>60</v>
      </c>
      <c r="L22" s="245" t="s">
        <v>61</v>
      </c>
      <c r="M22" s="245" t="s">
        <v>62</v>
      </c>
      <c r="N22" s="305" t="s">
        <v>63</v>
      </c>
      <c r="O22" s="151" t="s">
        <v>64</v>
      </c>
      <c r="P22" s="1" t="s">
        <v>64</v>
      </c>
      <c r="Q22" s="1" t="s">
        <v>64</v>
      </c>
      <c r="R22" s="203" t="s">
        <v>267</v>
      </c>
      <c r="S22" s="312" t="s">
        <v>268</v>
      </c>
      <c r="T22" s="151"/>
      <c r="U22" s="1"/>
      <c r="V22" s="1"/>
      <c r="W22" s="112"/>
      <c r="X22" s="312"/>
      <c r="Y22" s="326"/>
      <c r="Z22" s="91"/>
      <c r="AA22" s="308"/>
      <c r="AB22" s="83"/>
      <c r="AC22" s="201"/>
      <c r="AD22" s="327"/>
      <c r="AE22" s="309"/>
      <c r="AF22" s="310"/>
      <c r="AG22" s="197"/>
      <c r="AH22" s="239"/>
      <c r="AI22" s="247">
        <v>0.49299999999999999</v>
      </c>
      <c r="AJ22" s="193">
        <v>0.51500000000000001</v>
      </c>
      <c r="AK22" s="133">
        <v>1</v>
      </c>
      <c r="AL22" s="194">
        <f>51.5/60</f>
        <v>0.85833333333333328</v>
      </c>
      <c r="AM22" s="256" t="str">
        <f>J22</f>
        <v xml:space="preserve">81,13%
(meta establecida con el anterior IGPL, modificada para 2022-2024)
</v>
      </c>
      <c r="AN22" s="110">
        <v>0.75800000000000001</v>
      </c>
      <c r="AO22" s="110">
        <f>75.8/81.13</f>
        <v>0.93430297054110689</v>
      </c>
      <c r="AP22" s="175">
        <f>51.5/60</f>
        <v>0.85833333333333328</v>
      </c>
      <c r="AQ22" s="270">
        <v>0.70569999999999999</v>
      </c>
      <c r="AR22" s="297">
        <v>0.71130000000000004</v>
      </c>
      <c r="AS22" s="297">
        <v>1</v>
      </c>
      <c r="AT22" s="298">
        <v>0.91859999999999997</v>
      </c>
      <c r="AU22" s="332">
        <v>0.72629999999999995</v>
      </c>
      <c r="AV22" s="10" t="s">
        <v>64</v>
      </c>
      <c r="AW22" s="10" t="s">
        <v>64</v>
      </c>
      <c r="AX22" s="298">
        <v>0.91859999999999997</v>
      </c>
      <c r="AY22" s="9"/>
      <c r="AZ22" s="10"/>
      <c r="BA22" s="10"/>
      <c r="BB22" s="11"/>
      <c r="BC22" s="77"/>
      <c r="BD22" s="78"/>
      <c r="BE22" s="78"/>
      <c r="BF22" s="78"/>
      <c r="BG22" s="78"/>
      <c r="BM22" s="80"/>
    </row>
    <row r="23" spans="1:65" s="79" customFormat="1" ht="123.75" customHeight="1" x14ac:dyDescent="0.25">
      <c r="A23" s="195" t="s">
        <v>52</v>
      </c>
      <c r="B23" s="169">
        <v>2</v>
      </c>
      <c r="C23" s="81" t="s">
        <v>65</v>
      </c>
      <c r="D23" s="82" t="s">
        <v>66</v>
      </c>
      <c r="E23" s="82" t="s">
        <v>67</v>
      </c>
      <c r="F23" s="83" t="s">
        <v>68</v>
      </c>
      <c r="G23" s="3" t="s">
        <v>16</v>
      </c>
      <c r="H23" s="4" t="s">
        <v>69</v>
      </c>
      <c r="I23" s="84">
        <v>0.05</v>
      </c>
      <c r="J23" s="85">
        <v>0.25</v>
      </c>
      <c r="K23" s="85">
        <v>0.3</v>
      </c>
      <c r="L23" s="85">
        <v>0.25</v>
      </c>
      <c r="M23" s="85">
        <v>0.15</v>
      </c>
      <c r="N23" s="257">
        <f>SUM(I23:M23)</f>
        <v>1</v>
      </c>
      <c r="O23" s="217">
        <v>0.06</v>
      </c>
      <c r="P23" s="217">
        <v>0.06</v>
      </c>
      <c r="Q23" s="106">
        <v>1</v>
      </c>
      <c r="R23" s="112" t="s">
        <v>218</v>
      </c>
      <c r="S23" s="312" t="s">
        <v>204</v>
      </c>
      <c r="T23" s="151"/>
      <c r="U23" s="1"/>
      <c r="V23" s="106"/>
      <c r="W23" s="112"/>
      <c r="X23" s="312"/>
      <c r="Y23" s="241"/>
      <c r="Z23" s="113"/>
      <c r="AA23" s="181"/>
      <c r="AB23" s="83"/>
      <c r="AC23" s="278"/>
      <c r="AD23" s="15"/>
      <c r="AE23" s="3"/>
      <c r="AF23" s="26"/>
      <c r="AG23" s="197"/>
      <c r="AH23" s="201"/>
      <c r="AI23" s="248">
        <v>0.05</v>
      </c>
      <c r="AJ23" s="198">
        <v>0.05</v>
      </c>
      <c r="AK23" s="26">
        <v>1</v>
      </c>
      <c r="AL23" s="199">
        <f>0.05/1</f>
        <v>0.05</v>
      </c>
      <c r="AM23" s="151">
        <f>+J23</f>
        <v>0.25</v>
      </c>
      <c r="AN23" s="128">
        <v>0.25</v>
      </c>
      <c r="AO23" s="108">
        <f>AN23/AM23</f>
        <v>1</v>
      </c>
      <c r="AP23" s="109">
        <f>AJ23+AN23</f>
        <v>0.3</v>
      </c>
      <c r="AQ23" s="150">
        <v>0.3</v>
      </c>
      <c r="AR23" s="300">
        <v>0.3</v>
      </c>
      <c r="AS23" s="181">
        <v>1.0000000000000002</v>
      </c>
      <c r="AT23" s="267">
        <v>0.60000000000000009</v>
      </c>
      <c r="AU23" s="333">
        <f t="shared" ref="AU23:AU56" si="0">L23</f>
        <v>0.25</v>
      </c>
      <c r="AV23" s="113">
        <f>O23</f>
        <v>0.06</v>
      </c>
      <c r="AW23" s="20">
        <f t="shared" ref="AW23:AW29" si="1">AV23/AU23</f>
        <v>0.24</v>
      </c>
      <c r="AX23" s="21">
        <f>AT23+(AU23*AW23)</f>
        <v>0.66000000000000014</v>
      </c>
      <c r="AY23" s="12"/>
      <c r="AZ23" s="13"/>
      <c r="BA23" s="13"/>
      <c r="BB23" s="14"/>
      <c r="BC23" s="78"/>
      <c r="BD23" s="78"/>
      <c r="BE23" s="78"/>
      <c r="BF23" s="78"/>
      <c r="BG23" s="78"/>
      <c r="BM23" s="80"/>
    </row>
    <row r="24" spans="1:65" s="79" customFormat="1" ht="101.1" customHeight="1" x14ac:dyDescent="0.25">
      <c r="A24" s="195" t="s">
        <v>52</v>
      </c>
      <c r="B24" s="169">
        <v>3</v>
      </c>
      <c r="C24" s="129" t="s">
        <v>70</v>
      </c>
      <c r="D24" s="82" t="s">
        <v>66</v>
      </c>
      <c r="E24" s="82" t="s">
        <v>71</v>
      </c>
      <c r="F24" s="83" t="s">
        <v>72</v>
      </c>
      <c r="G24" s="3" t="s">
        <v>12</v>
      </c>
      <c r="H24" s="4" t="s">
        <v>73</v>
      </c>
      <c r="I24" s="94">
        <v>20</v>
      </c>
      <c r="J24" s="95">
        <v>20</v>
      </c>
      <c r="K24" s="95">
        <v>20</v>
      </c>
      <c r="L24" s="95">
        <v>20</v>
      </c>
      <c r="M24" s="95">
        <v>20</v>
      </c>
      <c r="N24" s="257">
        <v>100</v>
      </c>
      <c r="O24" s="106" t="s">
        <v>64</v>
      </c>
      <c r="P24" s="106" t="s">
        <v>64</v>
      </c>
      <c r="Q24" s="106" t="s">
        <v>64</v>
      </c>
      <c r="R24" s="112" t="s">
        <v>219</v>
      </c>
      <c r="S24" s="312" t="s">
        <v>220</v>
      </c>
      <c r="T24" s="151"/>
      <c r="U24" s="1"/>
      <c r="V24" s="106"/>
      <c r="W24" s="112"/>
      <c r="X24" s="317"/>
      <c r="Y24" s="279"/>
      <c r="Z24" s="5"/>
      <c r="AA24" s="181"/>
      <c r="AB24" s="83"/>
      <c r="AC24" s="278"/>
      <c r="AD24" s="15"/>
      <c r="AE24" s="3"/>
      <c r="AF24" s="26"/>
      <c r="AG24" s="197"/>
      <c r="AH24" s="201"/>
      <c r="AI24" s="2">
        <v>20</v>
      </c>
      <c r="AJ24" s="3">
        <v>20</v>
      </c>
      <c r="AK24" s="26">
        <v>1</v>
      </c>
      <c r="AL24" s="153">
        <v>0.2</v>
      </c>
      <c r="AM24" s="151">
        <f>+J24</f>
        <v>20</v>
      </c>
      <c r="AN24" s="188">
        <v>20</v>
      </c>
      <c r="AO24" s="108">
        <f>+AN24/AM24</f>
        <v>1</v>
      </c>
      <c r="AP24" s="109">
        <f>AL24+(20%*AO24)</f>
        <v>0.4</v>
      </c>
      <c r="AQ24" s="185">
        <v>20</v>
      </c>
      <c r="AR24" s="207">
        <v>20</v>
      </c>
      <c r="AS24" s="181">
        <v>1</v>
      </c>
      <c r="AT24" s="21">
        <v>0.60000000000000009</v>
      </c>
      <c r="AU24" s="335">
        <f t="shared" si="0"/>
        <v>20</v>
      </c>
      <c r="AV24" s="341" t="str">
        <f>O24</f>
        <v>N/A</v>
      </c>
      <c r="AW24" s="20">
        <v>0</v>
      </c>
      <c r="AX24" s="344">
        <f>60/100</f>
        <v>0.6</v>
      </c>
      <c r="AY24" s="15"/>
      <c r="AZ24" s="3"/>
      <c r="BA24" s="3"/>
      <c r="BB24" s="4"/>
      <c r="BC24" s="77"/>
      <c r="BD24" s="78"/>
      <c r="BE24" s="78"/>
      <c r="BF24" s="78"/>
      <c r="BG24" s="78"/>
      <c r="BM24" s="80"/>
    </row>
    <row r="25" spans="1:65" s="79" customFormat="1" ht="210" x14ac:dyDescent="0.25">
      <c r="A25" s="200" t="s">
        <v>74</v>
      </c>
      <c r="B25" s="167">
        <v>4</v>
      </c>
      <c r="C25" s="81" t="s">
        <v>75</v>
      </c>
      <c r="D25" s="82" t="s">
        <v>76</v>
      </c>
      <c r="E25" s="82" t="s">
        <v>77</v>
      </c>
      <c r="F25" s="83" t="s">
        <v>78</v>
      </c>
      <c r="G25" s="3" t="s">
        <v>10</v>
      </c>
      <c r="H25" s="4" t="s">
        <v>79</v>
      </c>
      <c r="I25" s="84">
        <v>0.3</v>
      </c>
      <c r="J25" s="85">
        <v>0.5</v>
      </c>
      <c r="K25" s="85">
        <v>0.7</v>
      </c>
      <c r="L25" s="85">
        <v>0.95</v>
      </c>
      <c r="M25" s="85">
        <v>1</v>
      </c>
      <c r="N25" s="257">
        <v>1</v>
      </c>
      <c r="O25" s="151">
        <v>0.04</v>
      </c>
      <c r="P25" s="1">
        <v>0.04</v>
      </c>
      <c r="Q25" s="106">
        <v>1</v>
      </c>
      <c r="R25" s="112" t="s">
        <v>258</v>
      </c>
      <c r="S25" s="312" t="s">
        <v>247</v>
      </c>
      <c r="T25" s="151"/>
      <c r="U25" s="1"/>
      <c r="V25" s="106"/>
      <c r="W25" s="204"/>
      <c r="X25" s="312"/>
      <c r="Y25" s="242"/>
      <c r="Z25" s="176"/>
      <c r="AA25" s="181"/>
      <c r="AB25" s="224"/>
      <c r="AC25" s="284"/>
      <c r="AD25" s="86"/>
      <c r="AE25" s="5"/>
      <c r="AF25" s="92"/>
      <c r="AG25" s="197"/>
      <c r="AH25" s="201"/>
      <c r="AI25" s="2">
        <v>0.3</v>
      </c>
      <c r="AJ25" s="3">
        <v>0.3</v>
      </c>
      <c r="AK25" s="20">
        <v>1</v>
      </c>
      <c r="AL25" s="202">
        <v>0.3</v>
      </c>
      <c r="AM25" s="151">
        <v>0.5</v>
      </c>
      <c r="AN25" s="128">
        <v>0.5</v>
      </c>
      <c r="AO25" s="108">
        <v>1</v>
      </c>
      <c r="AP25" s="109">
        <f>AN25/N25</f>
        <v>0.5</v>
      </c>
      <c r="AQ25" s="150">
        <v>0.7</v>
      </c>
      <c r="AR25" s="113">
        <v>0.7</v>
      </c>
      <c r="AS25" s="181">
        <v>1</v>
      </c>
      <c r="AT25" s="267">
        <v>0.70000000000000007</v>
      </c>
      <c r="AU25" s="333">
        <f t="shared" si="0"/>
        <v>0.95</v>
      </c>
      <c r="AV25" s="113">
        <f>AR25+O25</f>
        <v>0.74</v>
      </c>
      <c r="AW25" s="357">
        <f t="shared" si="1"/>
        <v>0.77894736842105261</v>
      </c>
      <c r="AX25" s="21">
        <v>0.57999999999999996</v>
      </c>
      <c r="AY25" s="16"/>
      <c r="AZ25" s="17"/>
      <c r="BA25" s="17"/>
      <c r="BB25" s="18"/>
      <c r="BC25" s="78"/>
      <c r="BD25" s="78"/>
      <c r="BE25" s="78"/>
      <c r="BF25" s="78"/>
      <c r="BG25" s="78"/>
      <c r="BM25" s="87"/>
    </row>
    <row r="26" spans="1:65" s="79" customFormat="1" ht="252" x14ac:dyDescent="0.25">
      <c r="A26" s="200" t="s">
        <v>74</v>
      </c>
      <c r="B26" s="170">
        <v>5</v>
      </c>
      <c r="C26" s="136" t="s">
        <v>80</v>
      </c>
      <c r="D26" s="82" t="s">
        <v>81</v>
      </c>
      <c r="E26" s="82" t="s">
        <v>82</v>
      </c>
      <c r="F26" s="83" t="s">
        <v>82</v>
      </c>
      <c r="G26" s="3" t="s">
        <v>10</v>
      </c>
      <c r="H26" s="4" t="s">
        <v>83</v>
      </c>
      <c r="I26" s="84">
        <v>0.1</v>
      </c>
      <c r="J26" s="85">
        <v>0.4</v>
      </c>
      <c r="K26" s="85">
        <v>0.65</v>
      </c>
      <c r="L26" s="85">
        <v>0.95</v>
      </c>
      <c r="M26" s="85">
        <v>1</v>
      </c>
      <c r="N26" s="257">
        <v>1</v>
      </c>
      <c r="O26" s="151">
        <v>0.1</v>
      </c>
      <c r="P26" s="1">
        <v>0.1</v>
      </c>
      <c r="Q26" s="106">
        <v>1</v>
      </c>
      <c r="R26" s="203" t="s">
        <v>248</v>
      </c>
      <c r="S26" s="313" t="s">
        <v>249</v>
      </c>
      <c r="T26" s="217"/>
      <c r="U26" s="128"/>
      <c r="V26" s="106"/>
      <c r="W26" s="112"/>
      <c r="X26" s="318"/>
      <c r="Y26" s="242"/>
      <c r="Z26" s="176"/>
      <c r="AA26" s="181"/>
      <c r="AB26" s="205"/>
      <c r="AC26" s="201"/>
      <c r="AD26" s="328"/>
      <c r="AE26" s="304"/>
      <c r="AF26" s="92"/>
      <c r="AG26" s="197"/>
      <c r="AH26" s="201"/>
      <c r="AI26" s="2">
        <v>0.1</v>
      </c>
      <c r="AJ26" s="3">
        <v>0.1</v>
      </c>
      <c r="AK26" s="20">
        <v>1</v>
      </c>
      <c r="AL26" s="202">
        <v>0.1</v>
      </c>
      <c r="AM26" s="151">
        <v>0.4</v>
      </c>
      <c r="AN26" s="216">
        <v>0.4</v>
      </c>
      <c r="AO26" s="108">
        <f>AN26/AM26</f>
        <v>1</v>
      </c>
      <c r="AP26" s="107">
        <f>AN26/N26</f>
        <v>0.4</v>
      </c>
      <c r="AQ26" s="2">
        <v>0.65</v>
      </c>
      <c r="AR26" s="198">
        <v>0.65</v>
      </c>
      <c r="AS26" s="37">
        <v>1</v>
      </c>
      <c r="AT26" s="29">
        <v>0.64999999999999991</v>
      </c>
      <c r="AU26" s="333">
        <f t="shared" si="0"/>
        <v>0.95</v>
      </c>
      <c r="AV26" s="113">
        <f>AR26+O26</f>
        <v>0.75</v>
      </c>
      <c r="AW26" s="357">
        <f t="shared" si="1"/>
        <v>0.78947368421052633</v>
      </c>
      <c r="AX26" s="21">
        <v>0.6</v>
      </c>
      <c r="AY26" s="15"/>
      <c r="AZ26" s="3"/>
      <c r="BA26" s="3"/>
      <c r="BB26" s="4"/>
    </row>
    <row r="27" spans="1:65" s="79" customFormat="1" ht="87.95" customHeight="1" x14ac:dyDescent="0.25">
      <c r="A27" s="200" t="s">
        <v>74</v>
      </c>
      <c r="B27" s="171">
        <v>5</v>
      </c>
      <c r="C27" s="136" t="s">
        <v>80</v>
      </c>
      <c r="D27" s="82" t="s">
        <v>84</v>
      </c>
      <c r="E27" s="82" t="s">
        <v>82</v>
      </c>
      <c r="F27" s="83" t="s">
        <v>85</v>
      </c>
      <c r="G27" s="3" t="s">
        <v>12</v>
      </c>
      <c r="H27" s="4" t="s">
        <v>83</v>
      </c>
      <c r="I27" s="84">
        <v>1</v>
      </c>
      <c r="J27" s="85">
        <v>1</v>
      </c>
      <c r="K27" s="85">
        <v>1</v>
      </c>
      <c r="L27" s="85">
        <v>1</v>
      </c>
      <c r="M27" s="85">
        <v>1</v>
      </c>
      <c r="N27" s="257">
        <v>1</v>
      </c>
      <c r="O27" s="217">
        <v>0.04</v>
      </c>
      <c r="P27" s="217">
        <v>0.04</v>
      </c>
      <c r="Q27" s="106">
        <v>1</v>
      </c>
      <c r="R27" s="112" t="s">
        <v>221</v>
      </c>
      <c r="S27" s="312" t="s">
        <v>205</v>
      </c>
      <c r="T27" s="219"/>
      <c r="U27" s="119"/>
      <c r="V27" s="106"/>
      <c r="W27" s="112"/>
      <c r="X27" s="319"/>
      <c r="Y27" s="280"/>
      <c r="Z27" s="208"/>
      <c r="AA27" s="181"/>
      <c r="AB27" s="83"/>
      <c r="AC27" s="278"/>
      <c r="AD27" s="15"/>
      <c r="AE27" s="3"/>
      <c r="AF27" s="296"/>
      <c r="AG27" s="197"/>
      <c r="AH27" s="201"/>
      <c r="AI27" s="2">
        <v>1</v>
      </c>
      <c r="AJ27" s="3">
        <v>1</v>
      </c>
      <c r="AK27" s="26">
        <f>+AJ27/AI27</f>
        <v>1</v>
      </c>
      <c r="AL27" s="153">
        <v>0.2</v>
      </c>
      <c r="AM27" s="209">
        <v>1</v>
      </c>
      <c r="AN27" s="189">
        <v>1</v>
      </c>
      <c r="AO27" s="108">
        <f>AN27/AM27</f>
        <v>1</v>
      </c>
      <c r="AP27" s="109">
        <f>AL27+(20%*AO27)</f>
        <v>0.4</v>
      </c>
      <c r="AQ27" s="185">
        <v>1</v>
      </c>
      <c r="AR27" s="207">
        <v>1</v>
      </c>
      <c r="AS27" s="181">
        <v>1</v>
      </c>
      <c r="AT27" s="21">
        <v>0.65</v>
      </c>
      <c r="AU27" s="335">
        <f t="shared" si="0"/>
        <v>1</v>
      </c>
      <c r="AV27" s="113">
        <v>0.04</v>
      </c>
      <c r="AW27" s="20">
        <f t="shared" si="1"/>
        <v>0.04</v>
      </c>
      <c r="AX27" s="269">
        <f>(AT27+(20%*AW27))/1</f>
        <v>0.65800000000000003</v>
      </c>
      <c r="AY27" s="19"/>
      <c r="AZ27" s="20"/>
      <c r="BA27" s="20"/>
      <c r="BB27" s="21"/>
      <c r="BC27" s="78"/>
    </row>
    <row r="28" spans="1:65" s="79" customFormat="1" ht="232.5" customHeight="1" x14ac:dyDescent="0.25">
      <c r="A28" s="200" t="s">
        <v>74</v>
      </c>
      <c r="B28" s="169">
        <v>6</v>
      </c>
      <c r="C28" s="81" t="s">
        <v>86</v>
      </c>
      <c r="D28" s="82" t="s">
        <v>87</v>
      </c>
      <c r="E28" s="82" t="s">
        <v>88</v>
      </c>
      <c r="F28" s="83" t="s">
        <v>89</v>
      </c>
      <c r="G28" s="3" t="s">
        <v>16</v>
      </c>
      <c r="H28" s="4" t="s">
        <v>90</v>
      </c>
      <c r="I28" s="2" t="s">
        <v>91</v>
      </c>
      <c r="J28" s="85">
        <v>1</v>
      </c>
      <c r="K28" s="85">
        <v>1</v>
      </c>
      <c r="L28" s="85">
        <v>1</v>
      </c>
      <c r="M28" s="85">
        <v>1</v>
      </c>
      <c r="N28" s="257">
        <v>4</v>
      </c>
      <c r="O28" s="152">
        <v>0.25</v>
      </c>
      <c r="P28" s="115">
        <v>0.25</v>
      </c>
      <c r="Q28" s="116">
        <v>1</v>
      </c>
      <c r="R28" s="121" t="s">
        <v>259</v>
      </c>
      <c r="S28" s="314" t="s">
        <v>260</v>
      </c>
      <c r="T28" s="152"/>
      <c r="U28" s="115"/>
      <c r="V28" s="116"/>
      <c r="W28" s="210"/>
      <c r="X28" s="320"/>
      <c r="Y28" s="241"/>
      <c r="Z28" s="113"/>
      <c r="AA28" s="181"/>
      <c r="AB28" s="211"/>
      <c r="AC28" s="212"/>
      <c r="AD28" s="241"/>
      <c r="AE28" s="113"/>
      <c r="AF28" s="181"/>
      <c r="AG28" s="211"/>
      <c r="AH28" s="212"/>
      <c r="AI28" s="185" t="s">
        <v>92</v>
      </c>
      <c r="AJ28" s="207" t="s">
        <v>92</v>
      </c>
      <c r="AK28" s="207" t="s">
        <v>92</v>
      </c>
      <c r="AL28" s="153">
        <v>0</v>
      </c>
      <c r="AM28" s="156">
        <v>1</v>
      </c>
      <c r="AN28" s="114">
        <v>1</v>
      </c>
      <c r="AO28" s="108">
        <v>1</v>
      </c>
      <c r="AP28" s="109">
        <v>0.25</v>
      </c>
      <c r="AQ28" s="260">
        <v>1</v>
      </c>
      <c r="AR28" s="261">
        <v>1</v>
      </c>
      <c r="AS28" s="181">
        <v>1</v>
      </c>
      <c r="AT28" s="267">
        <v>0.5</v>
      </c>
      <c r="AU28" s="335">
        <f t="shared" si="0"/>
        <v>1</v>
      </c>
      <c r="AV28" s="358">
        <v>0.25</v>
      </c>
      <c r="AW28" s="181">
        <f t="shared" si="1"/>
        <v>0.25</v>
      </c>
      <c r="AX28" s="267">
        <f>AT28+(AW28*25%)</f>
        <v>0.5625</v>
      </c>
      <c r="AY28" s="22"/>
      <c r="AZ28" s="23"/>
      <c r="BA28" s="23"/>
      <c r="BB28" s="24"/>
    </row>
    <row r="29" spans="1:65" ht="246.75" customHeight="1" x14ac:dyDescent="0.25">
      <c r="A29" s="200" t="s">
        <v>74</v>
      </c>
      <c r="B29" s="169">
        <v>7</v>
      </c>
      <c r="C29" s="88" t="s">
        <v>93</v>
      </c>
      <c r="D29" s="82" t="s">
        <v>94</v>
      </c>
      <c r="E29" s="82" t="s">
        <v>95</v>
      </c>
      <c r="F29" s="83" t="s">
        <v>96</v>
      </c>
      <c r="G29" s="3" t="s">
        <v>16</v>
      </c>
      <c r="H29" s="4" t="s">
        <v>97</v>
      </c>
      <c r="I29" s="84">
        <v>1</v>
      </c>
      <c r="J29" s="85">
        <v>3</v>
      </c>
      <c r="K29" s="85">
        <v>3</v>
      </c>
      <c r="L29" s="85">
        <v>3</v>
      </c>
      <c r="M29" s="85">
        <v>2</v>
      </c>
      <c r="N29" s="257">
        <v>12</v>
      </c>
      <c r="O29" s="151">
        <v>0.99</v>
      </c>
      <c r="P29" s="1">
        <v>0.99</v>
      </c>
      <c r="Q29" s="108">
        <v>1</v>
      </c>
      <c r="R29" s="112" t="s">
        <v>231</v>
      </c>
      <c r="S29" s="312" t="s">
        <v>232</v>
      </c>
      <c r="T29" s="151"/>
      <c r="U29" s="1"/>
      <c r="V29" s="108"/>
      <c r="W29" s="204"/>
      <c r="X29" s="312"/>
      <c r="Y29" s="280"/>
      <c r="Z29" s="208"/>
      <c r="AA29" s="190"/>
      <c r="AB29" s="221"/>
      <c r="AC29" s="281"/>
      <c r="AD29" s="329"/>
      <c r="AE29" s="214"/>
      <c r="AF29" s="92"/>
      <c r="AG29" s="294"/>
      <c r="AH29" s="201"/>
      <c r="AI29" s="2">
        <v>1</v>
      </c>
      <c r="AJ29" s="3">
        <v>1</v>
      </c>
      <c r="AK29" s="26">
        <v>1</v>
      </c>
      <c r="AL29" s="215">
        <f>1/12</f>
        <v>8.3333333333333329E-2</v>
      </c>
      <c r="AM29" s="157">
        <v>3</v>
      </c>
      <c r="AN29" s="138">
        <v>3</v>
      </c>
      <c r="AO29" s="106">
        <f>AN29/AM29</f>
        <v>1</v>
      </c>
      <c r="AP29" s="107">
        <f>(AJ29+AN29)/12</f>
        <v>0.33333333333333331</v>
      </c>
      <c r="AQ29" s="140">
        <v>3</v>
      </c>
      <c r="AR29" s="91">
        <v>3</v>
      </c>
      <c r="AS29" s="26">
        <v>1</v>
      </c>
      <c r="AT29" s="27">
        <v>0.57999999999999996</v>
      </c>
      <c r="AU29" s="335">
        <f t="shared" si="0"/>
        <v>3</v>
      </c>
      <c r="AV29" s="198">
        <v>0.99</v>
      </c>
      <c r="AW29" s="34">
        <f t="shared" si="1"/>
        <v>0.33</v>
      </c>
      <c r="AX29" s="35">
        <f>(AJ29+AN29+AR29+AV29)/12</f>
        <v>0.66583333333333339</v>
      </c>
      <c r="AY29" s="25"/>
      <c r="AZ29" s="26"/>
      <c r="BA29" s="26"/>
      <c r="BB29" s="27"/>
    </row>
    <row r="30" spans="1:65" ht="210" x14ac:dyDescent="0.25">
      <c r="A30" s="200" t="s">
        <v>74</v>
      </c>
      <c r="B30" s="169">
        <v>8</v>
      </c>
      <c r="C30" s="129" t="s">
        <v>98</v>
      </c>
      <c r="D30" s="82" t="s">
        <v>99</v>
      </c>
      <c r="E30" s="82" t="s">
        <v>100</v>
      </c>
      <c r="F30" s="83" t="s">
        <v>101</v>
      </c>
      <c r="G30" s="3" t="s">
        <v>12</v>
      </c>
      <c r="H30" s="4" t="s">
        <v>102</v>
      </c>
      <c r="I30" s="84">
        <v>1</v>
      </c>
      <c r="J30" s="85">
        <v>1</v>
      </c>
      <c r="K30" s="85">
        <v>1</v>
      </c>
      <c r="L30" s="85">
        <v>1</v>
      </c>
      <c r="M30" s="85">
        <v>1</v>
      </c>
      <c r="N30" s="257">
        <v>1</v>
      </c>
      <c r="O30" s="151" t="s">
        <v>64</v>
      </c>
      <c r="P30" s="1" t="s">
        <v>64</v>
      </c>
      <c r="Q30" s="1" t="s">
        <v>64</v>
      </c>
      <c r="R30" s="112" t="s">
        <v>233</v>
      </c>
      <c r="S30" s="312" t="s">
        <v>234</v>
      </c>
      <c r="T30" s="151"/>
      <c r="U30" s="1"/>
      <c r="V30" s="1"/>
      <c r="W30" s="112"/>
      <c r="X30" s="312"/>
      <c r="Y30" s="151"/>
      <c r="Z30" s="1"/>
      <c r="AA30" s="1"/>
      <c r="AB30" s="83"/>
      <c r="AC30" s="282"/>
      <c r="AD30" s="86"/>
      <c r="AE30" s="5"/>
      <c r="AF30" s="295"/>
      <c r="AG30" s="83"/>
      <c r="AH30" s="196"/>
      <c r="AI30" s="150">
        <v>1</v>
      </c>
      <c r="AJ30" s="5">
        <v>1</v>
      </c>
      <c r="AK30" s="26">
        <v>1</v>
      </c>
      <c r="AL30" s="153">
        <v>0.2</v>
      </c>
      <c r="AM30" s="157">
        <v>1</v>
      </c>
      <c r="AN30" s="138">
        <v>1</v>
      </c>
      <c r="AO30" s="240">
        <v>1</v>
      </c>
      <c r="AP30" s="109">
        <f>(AK30+AO30)/5</f>
        <v>0.4</v>
      </c>
      <c r="AQ30" s="184">
        <v>1</v>
      </c>
      <c r="AR30" s="273">
        <v>1</v>
      </c>
      <c r="AS30" s="92">
        <v>1</v>
      </c>
      <c r="AT30" s="29">
        <v>0.60000000000000009</v>
      </c>
      <c r="AU30" s="335">
        <f t="shared" si="0"/>
        <v>1</v>
      </c>
      <c r="AV30" s="273">
        <v>0</v>
      </c>
      <c r="AW30" s="92">
        <v>0</v>
      </c>
      <c r="AX30" s="29">
        <v>0.6</v>
      </c>
      <c r="AY30" s="28"/>
      <c r="AZ30" s="92"/>
      <c r="BA30" s="92"/>
      <c r="BB30" s="29"/>
    </row>
    <row r="31" spans="1:65" ht="96" customHeight="1" x14ac:dyDescent="0.25">
      <c r="A31" s="200" t="s">
        <v>74</v>
      </c>
      <c r="B31" s="169">
        <v>9</v>
      </c>
      <c r="C31" s="81" t="s">
        <v>103</v>
      </c>
      <c r="D31" s="82" t="s">
        <v>104</v>
      </c>
      <c r="E31" s="82" t="s">
        <v>105</v>
      </c>
      <c r="F31" s="83" t="s">
        <v>106</v>
      </c>
      <c r="G31" s="3" t="s">
        <v>16</v>
      </c>
      <c r="H31" s="4" t="s">
        <v>79</v>
      </c>
      <c r="I31" s="84">
        <v>0.05</v>
      </c>
      <c r="J31" s="85">
        <v>0.3</v>
      </c>
      <c r="K31" s="85">
        <v>0.3</v>
      </c>
      <c r="L31" s="85">
        <v>0.3</v>
      </c>
      <c r="M31" s="85">
        <v>0.05</v>
      </c>
      <c r="N31" s="257">
        <f>SUM(I31:M31)</f>
        <v>1</v>
      </c>
      <c r="O31" s="217">
        <v>0.13</v>
      </c>
      <c r="P31" s="217">
        <v>0.13</v>
      </c>
      <c r="Q31" s="106">
        <v>1</v>
      </c>
      <c r="R31" s="112" t="s">
        <v>222</v>
      </c>
      <c r="S31" s="312" t="s">
        <v>206</v>
      </c>
      <c r="T31" s="217"/>
      <c r="U31" s="128"/>
      <c r="V31" s="106"/>
      <c r="W31" s="112"/>
      <c r="X31" s="321"/>
      <c r="Y31" s="241"/>
      <c r="Z31" s="113"/>
      <c r="AA31" s="181"/>
      <c r="AB31" s="83"/>
      <c r="AC31" s="196"/>
      <c r="AD31" s="330"/>
      <c r="AE31" s="198"/>
      <c r="AF31" s="92"/>
      <c r="AG31" s="197"/>
      <c r="AH31" s="201"/>
      <c r="AI31" s="248">
        <v>0.05</v>
      </c>
      <c r="AJ31" s="198">
        <v>0.05</v>
      </c>
      <c r="AK31" s="26">
        <v>1</v>
      </c>
      <c r="AL31" s="153">
        <v>0.05</v>
      </c>
      <c r="AM31" s="219">
        <v>0.3</v>
      </c>
      <c r="AN31" s="119">
        <v>0.3</v>
      </c>
      <c r="AO31" s="108">
        <f>AN31/AM31</f>
        <v>1</v>
      </c>
      <c r="AP31" s="109">
        <f>+(AJ31+AN31)/N31</f>
        <v>0.35</v>
      </c>
      <c r="AQ31" s="268">
        <v>0.3</v>
      </c>
      <c r="AR31" s="113">
        <v>0.3</v>
      </c>
      <c r="AS31" s="181">
        <v>1</v>
      </c>
      <c r="AT31" s="267">
        <v>0.64999999999999991</v>
      </c>
      <c r="AU31" s="333">
        <f t="shared" si="0"/>
        <v>0.3</v>
      </c>
      <c r="AV31" s="113">
        <f>O31</f>
        <v>0.13</v>
      </c>
      <c r="AW31" s="20">
        <f>AV31/AU31</f>
        <v>0.43333333333333335</v>
      </c>
      <c r="AX31" s="267">
        <f>AT31+(AU31*AW31)</f>
        <v>0.77999999999999992</v>
      </c>
      <c r="AY31" s="28"/>
      <c r="AZ31" s="92"/>
      <c r="BA31" s="92"/>
      <c r="BB31" s="29"/>
    </row>
    <row r="32" spans="1:65" ht="189" x14ac:dyDescent="0.25">
      <c r="A32" s="220" t="s">
        <v>107</v>
      </c>
      <c r="B32" s="169">
        <v>10</v>
      </c>
      <c r="C32" s="88" t="s">
        <v>108</v>
      </c>
      <c r="D32" s="82" t="s">
        <v>109</v>
      </c>
      <c r="E32" s="82" t="s">
        <v>110</v>
      </c>
      <c r="F32" s="83" t="s">
        <v>111</v>
      </c>
      <c r="G32" s="3" t="s">
        <v>12</v>
      </c>
      <c r="H32" s="4" t="s">
        <v>112</v>
      </c>
      <c r="I32" s="89">
        <v>1</v>
      </c>
      <c r="J32" s="90">
        <v>1</v>
      </c>
      <c r="K32" s="90">
        <v>1</v>
      </c>
      <c r="L32" s="90">
        <v>1</v>
      </c>
      <c r="M32" s="90">
        <v>1</v>
      </c>
      <c r="N32" s="153">
        <v>1</v>
      </c>
      <c r="O32" s="159">
        <v>1</v>
      </c>
      <c r="P32" s="108">
        <v>1</v>
      </c>
      <c r="Q32" s="106">
        <v>1</v>
      </c>
      <c r="R32" s="112" t="s">
        <v>265</v>
      </c>
      <c r="S32" s="312" t="s">
        <v>266</v>
      </c>
      <c r="T32" s="159"/>
      <c r="U32" s="106"/>
      <c r="V32" s="106"/>
      <c r="W32" s="274"/>
      <c r="X32" s="312"/>
      <c r="Y32" s="28"/>
      <c r="Z32" s="92"/>
      <c r="AA32" s="92"/>
      <c r="AB32" s="221"/>
      <c r="AC32" s="239"/>
      <c r="AD32" s="28"/>
      <c r="AE32" s="92"/>
      <c r="AF32" s="92"/>
      <c r="AG32" s="244"/>
      <c r="AH32" s="196"/>
      <c r="AI32" s="180">
        <v>1</v>
      </c>
      <c r="AJ32" s="92">
        <v>1</v>
      </c>
      <c r="AK32" s="26">
        <v>1</v>
      </c>
      <c r="AL32" s="199">
        <v>0.2</v>
      </c>
      <c r="AM32" s="155">
        <v>1</v>
      </c>
      <c r="AN32" s="110">
        <v>1</v>
      </c>
      <c r="AO32" s="108">
        <f>AN32/AM32</f>
        <v>1</v>
      </c>
      <c r="AP32" s="109">
        <f>AL32+(20%*AO32)</f>
        <v>0.4</v>
      </c>
      <c r="AQ32" s="180">
        <v>1</v>
      </c>
      <c r="AR32" s="92">
        <v>1</v>
      </c>
      <c r="AS32" s="92">
        <v>1</v>
      </c>
      <c r="AT32" s="29">
        <v>0.60000000000000009</v>
      </c>
      <c r="AU32" s="9">
        <f t="shared" si="0"/>
        <v>1</v>
      </c>
      <c r="AV32" s="92">
        <v>1</v>
      </c>
      <c r="AW32" s="92">
        <v>1</v>
      </c>
      <c r="AX32" s="29">
        <v>0.8</v>
      </c>
      <c r="AY32" s="28"/>
      <c r="AZ32" s="92"/>
      <c r="BA32" s="92"/>
      <c r="BB32" s="29"/>
    </row>
    <row r="33" spans="1:59" ht="279" customHeight="1" x14ac:dyDescent="0.25">
      <c r="A33" s="220" t="s">
        <v>107</v>
      </c>
      <c r="B33" s="169">
        <v>11</v>
      </c>
      <c r="C33" s="88" t="s">
        <v>113</v>
      </c>
      <c r="D33" s="82" t="s">
        <v>114</v>
      </c>
      <c r="E33" s="82" t="s">
        <v>115</v>
      </c>
      <c r="F33" s="83" t="s">
        <v>116</v>
      </c>
      <c r="G33" s="3" t="s">
        <v>12</v>
      </c>
      <c r="H33" s="4" t="s">
        <v>69</v>
      </c>
      <c r="I33" s="2" t="s">
        <v>91</v>
      </c>
      <c r="J33" s="85">
        <v>1</v>
      </c>
      <c r="K33" s="85">
        <v>1</v>
      </c>
      <c r="L33" s="85">
        <v>1</v>
      </c>
      <c r="M33" s="85">
        <v>1</v>
      </c>
      <c r="N33" s="257">
        <v>1</v>
      </c>
      <c r="O33" s="362">
        <v>0.25</v>
      </c>
      <c r="P33" s="363">
        <v>0.25</v>
      </c>
      <c r="Q33" s="359">
        <v>1</v>
      </c>
      <c r="R33" s="360" t="s">
        <v>261</v>
      </c>
      <c r="S33" s="361" t="s">
        <v>262</v>
      </c>
      <c r="T33" s="271"/>
      <c r="U33" s="272"/>
      <c r="V33" s="117"/>
      <c r="W33" s="222"/>
      <c r="X33" s="315"/>
      <c r="Y33" s="280"/>
      <c r="Z33" s="208"/>
      <c r="AA33" s="92"/>
      <c r="AB33" s="205"/>
      <c r="AC33" s="201"/>
      <c r="AD33" s="15"/>
      <c r="AE33" s="3"/>
      <c r="AF33" s="296"/>
      <c r="AG33" s="197"/>
      <c r="AH33" s="201"/>
      <c r="AI33" s="2" t="s">
        <v>92</v>
      </c>
      <c r="AJ33" s="3" t="s">
        <v>92</v>
      </c>
      <c r="AK33" s="3" t="s">
        <v>92</v>
      </c>
      <c r="AL33" s="199">
        <v>0</v>
      </c>
      <c r="AM33" s="158">
        <v>1</v>
      </c>
      <c r="AN33" s="177">
        <v>1</v>
      </c>
      <c r="AO33" s="117">
        <f>AN33/AM33</f>
        <v>1</v>
      </c>
      <c r="AP33" s="118">
        <f>25%*AO33</f>
        <v>0.25</v>
      </c>
      <c r="AQ33" s="2">
        <v>1</v>
      </c>
      <c r="AR33" s="91">
        <v>1</v>
      </c>
      <c r="AS33" s="26">
        <v>1</v>
      </c>
      <c r="AT33" s="27">
        <v>0.5</v>
      </c>
      <c r="AU33" s="335">
        <f t="shared" si="0"/>
        <v>1</v>
      </c>
      <c r="AV33" s="3">
        <v>0.25</v>
      </c>
      <c r="AW33" s="296">
        <f>AV33/AU33</f>
        <v>0.25</v>
      </c>
      <c r="AX33" s="364">
        <f>AT33+(25%*AW33)</f>
        <v>0.5625</v>
      </c>
      <c r="AY33" s="15"/>
      <c r="AZ33" s="3"/>
      <c r="BA33" s="3"/>
      <c r="BB33" s="4"/>
      <c r="BC33" s="93"/>
    </row>
    <row r="34" spans="1:59" ht="409.6" customHeight="1" x14ac:dyDescent="0.25">
      <c r="A34" s="220" t="s">
        <v>107</v>
      </c>
      <c r="B34" s="169">
        <v>12</v>
      </c>
      <c r="C34" s="88" t="s">
        <v>117</v>
      </c>
      <c r="D34" s="82" t="s">
        <v>94</v>
      </c>
      <c r="E34" s="82" t="s">
        <v>118</v>
      </c>
      <c r="F34" s="83" t="s">
        <v>119</v>
      </c>
      <c r="G34" s="3" t="s">
        <v>12</v>
      </c>
      <c r="H34" s="4" t="s">
        <v>57</v>
      </c>
      <c r="I34" s="89">
        <v>1</v>
      </c>
      <c r="J34" s="90">
        <v>1</v>
      </c>
      <c r="K34" s="90">
        <v>1</v>
      </c>
      <c r="L34" s="90">
        <v>1</v>
      </c>
      <c r="M34" s="90">
        <v>1</v>
      </c>
      <c r="N34" s="306">
        <v>1</v>
      </c>
      <c r="O34" s="151">
        <v>3</v>
      </c>
      <c r="P34" s="1">
        <v>3</v>
      </c>
      <c r="Q34" s="106">
        <v>1</v>
      </c>
      <c r="R34" s="112" t="s">
        <v>235</v>
      </c>
      <c r="S34" s="312" t="s">
        <v>236</v>
      </c>
      <c r="T34" s="209"/>
      <c r="U34" s="189"/>
      <c r="V34" s="106"/>
      <c r="W34" s="112"/>
      <c r="X34" s="312"/>
      <c r="Y34" s="283"/>
      <c r="Z34" s="91"/>
      <c r="AA34" s="92"/>
      <c r="AB34" s="205"/>
      <c r="AC34" s="201"/>
      <c r="AD34" s="15"/>
      <c r="AE34" s="3"/>
      <c r="AF34" s="26"/>
      <c r="AG34" s="244"/>
      <c r="AH34" s="201"/>
      <c r="AI34" s="124">
        <v>1</v>
      </c>
      <c r="AJ34" s="26">
        <v>1</v>
      </c>
      <c r="AK34" s="26">
        <v>1</v>
      </c>
      <c r="AL34" s="153">
        <v>0.2</v>
      </c>
      <c r="AM34" s="159">
        <v>1</v>
      </c>
      <c r="AN34" s="106">
        <f>(O34+T34+Y34)/(P34+U34+Z34)</f>
        <v>1</v>
      </c>
      <c r="AO34" s="106">
        <f>AN34/AM34</f>
        <v>1</v>
      </c>
      <c r="AP34" s="107">
        <f>20%+(20%*AO34)</f>
        <v>0.4</v>
      </c>
      <c r="AQ34" s="124">
        <v>1</v>
      </c>
      <c r="AR34" s="26">
        <v>1</v>
      </c>
      <c r="AS34" s="26">
        <v>1</v>
      </c>
      <c r="AT34" s="27">
        <v>0.6</v>
      </c>
      <c r="AU34" s="9">
        <f t="shared" si="0"/>
        <v>1</v>
      </c>
      <c r="AV34" s="26">
        <v>1</v>
      </c>
      <c r="AW34" s="26">
        <v>1</v>
      </c>
      <c r="AX34" s="27">
        <v>0.8</v>
      </c>
      <c r="AY34" s="25"/>
      <c r="AZ34" s="26"/>
      <c r="BA34" s="26"/>
      <c r="BB34" s="27"/>
    </row>
    <row r="35" spans="1:59" ht="294.75" customHeight="1" x14ac:dyDescent="0.25">
      <c r="A35" s="220" t="s">
        <v>107</v>
      </c>
      <c r="B35" s="169">
        <v>13</v>
      </c>
      <c r="C35" s="81" t="s">
        <v>120</v>
      </c>
      <c r="D35" s="82" t="s">
        <v>121</v>
      </c>
      <c r="E35" s="82" t="s">
        <v>122</v>
      </c>
      <c r="F35" s="83" t="s">
        <v>123</v>
      </c>
      <c r="G35" s="3" t="s">
        <v>12</v>
      </c>
      <c r="H35" s="4" t="s">
        <v>57</v>
      </c>
      <c r="I35" s="89">
        <v>1</v>
      </c>
      <c r="J35" s="90">
        <v>1</v>
      </c>
      <c r="K35" s="90">
        <v>1</v>
      </c>
      <c r="L35" s="90">
        <v>1</v>
      </c>
      <c r="M35" s="90">
        <v>1</v>
      </c>
      <c r="N35" s="306">
        <v>1</v>
      </c>
      <c r="O35" s="151">
        <v>3</v>
      </c>
      <c r="P35" s="1">
        <v>3</v>
      </c>
      <c r="Q35" s="108">
        <v>1</v>
      </c>
      <c r="R35" s="112" t="s">
        <v>245</v>
      </c>
      <c r="S35" s="312" t="s">
        <v>237</v>
      </c>
      <c r="T35" s="151"/>
      <c r="U35" s="1"/>
      <c r="V35" s="108"/>
      <c r="W35" s="112"/>
      <c r="X35" s="312"/>
      <c r="Y35" s="235"/>
      <c r="Z35" s="186"/>
      <c r="AA35" s="92"/>
      <c r="AB35" s="205"/>
      <c r="AC35" s="201"/>
      <c r="AD35" s="15"/>
      <c r="AE35" s="3"/>
      <c r="AF35" s="26"/>
      <c r="AG35" s="197"/>
      <c r="AH35" s="201"/>
      <c r="AI35" s="2">
        <v>10</v>
      </c>
      <c r="AJ35" s="3">
        <v>10</v>
      </c>
      <c r="AK35" s="26">
        <v>1</v>
      </c>
      <c r="AL35" s="153">
        <v>0.2</v>
      </c>
      <c r="AM35" s="159">
        <v>1</v>
      </c>
      <c r="AN35" s="108">
        <f>10/10</f>
        <v>1</v>
      </c>
      <c r="AO35" s="108">
        <f>AN35/AM35</f>
        <v>1</v>
      </c>
      <c r="AP35" s="139">
        <f>AL35+(20%*AO35)</f>
        <v>0.4</v>
      </c>
      <c r="AQ35" s="124">
        <v>1</v>
      </c>
      <c r="AR35" s="26">
        <v>1</v>
      </c>
      <c r="AS35" s="26">
        <v>1</v>
      </c>
      <c r="AT35" s="27">
        <v>0.60000000000000009</v>
      </c>
      <c r="AU35" s="9">
        <f t="shared" si="0"/>
        <v>1</v>
      </c>
      <c r="AV35" s="26">
        <v>0.25</v>
      </c>
      <c r="AW35" s="26">
        <v>0.25</v>
      </c>
      <c r="AX35" s="27">
        <f>AT35+(20%*AW35)</f>
        <v>0.65000000000000013</v>
      </c>
      <c r="AY35" s="15"/>
      <c r="AZ35" s="3"/>
      <c r="BA35" s="3"/>
      <c r="BB35" s="4"/>
      <c r="BC35" s="93"/>
    </row>
    <row r="36" spans="1:59" ht="142.5" customHeight="1" x14ac:dyDescent="0.25">
      <c r="A36" s="223" t="s">
        <v>124</v>
      </c>
      <c r="B36" s="169">
        <v>14</v>
      </c>
      <c r="C36" s="129" t="s">
        <v>125</v>
      </c>
      <c r="D36" s="141" t="s">
        <v>126</v>
      </c>
      <c r="E36" s="141" t="s">
        <v>127</v>
      </c>
      <c r="F36" s="83" t="s">
        <v>128</v>
      </c>
      <c r="G36" s="5" t="s">
        <v>12</v>
      </c>
      <c r="H36" s="6" t="s">
        <v>57</v>
      </c>
      <c r="I36" s="142">
        <v>1</v>
      </c>
      <c r="J36" s="143">
        <v>1</v>
      </c>
      <c r="K36" s="143">
        <v>1</v>
      </c>
      <c r="L36" s="143">
        <v>1</v>
      </c>
      <c r="M36" s="143">
        <v>1</v>
      </c>
      <c r="N36" s="202">
        <v>1</v>
      </c>
      <c r="O36" s="155">
        <v>0.06</v>
      </c>
      <c r="P36" s="106">
        <v>0.06</v>
      </c>
      <c r="Q36" s="106">
        <v>1</v>
      </c>
      <c r="R36" s="112" t="s">
        <v>223</v>
      </c>
      <c r="S36" s="312" t="s">
        <v>207</v>
      </c>
      <c r="T36" s="159"/>
      <c r="U36" s="106"/>
      <c r="V36" s="106"/>
      <c r="W36" s="112"/>
      <c r="X36" s="312"/>
      <c r="Y36" s="28"/>
      <c r="Z36" s="190"/>
      <c r="AA36" s="92"/>
      <c r="AB36" s="205"/>
      <c r="AC36" s="284"/>
      <c r="AD36" s="28"/>
      <c r="AE36" s="190"/>
      <c r="AF36" s="92"/>
      <c r="AG36" s="205"/>
      <c r="AH36" s="201"/>
      <c r="AI36" s="123">
        <v>1</v>
      </c>
      <c r="AJ36" s="20">
        <v>1</v>
      </c>
      <c r="AK36" s="20">
        <v>1</v>
      </c>
      <c r="AL36" s="202">
        <v>0.2</v>
      </c>
      <c r="AM36" s="159">
        <v>1</v>
      </c>
      <c r="AN36" s="106">
        <v>1</v>
      </c>
      <c r="AO36" s="106">
        <f>+AN36</f>
        <v>1</v>
      </c>
      <c r="AP36" s="109">
        <f>AL36+(20%*AO36)</f>
        <v>0.4</v>
      </c>
      <c r="AQ36" s="123">
        <v>1</v>
      </c>
      <c r="AR36" s="181">
        <v>1</v>
      </c>
      <c r="AS36" s="181">
        <v>1</v>
      </c>
      <c r="AT36" s="267">
        <v>0.60000000000000009</v>
      </c>
      <c r="AU36" s="9">
        <f t="shared" si="0"/>
        <v>1</v>
      </c>
      <c r="AV36" s="20">
        <f>O36</f>
        <v>0.06</v>
      </c>
      <c r="AW36" s="20">
        <f>AV36/AU36</f>
        <v>0.06</v>
      </c>
      <c r="AX36" s="21">
        <f>AT36+(20%*AW36)</f>
        <v>0.6120000000000001</v>
      </c>
      <c r="AY36" s="16"/>
      <c r="AZ36" s="17"/>
      <c r="BA36" s="17"/>
      <c r="BB36" s="18"/>
      <c r="BC36" s="93"/>
    </row>
    <row r="37" spans="1:59" ht="111.95" customHeight="1" x14ac:dyDescent="0.25">
      <c r="A37" s="220" t="s">
        <v>107</v>
      </c>
      <c r="B37" s="169">
        <v>15</v>
      </c>
      <c r="C37" s="81" t="s">
        <v>129</v>
      </c>
      <c r="D37" s="82" t="s">
        <v>130</v>
      </c>
      <c r="E37" s="82" t="s">
        <v>131</v>
      </c>
      <c r="F37" s="83" t="s">
        <v>132</v>
      </c>
      <c r="G37" s="3" t="s">
        <v>10</v>
      </c>
      <c r="H37" s="4" t="s">
        <v>133</v>
      </c>
      <c r="I37" s="2" t="s">
        <v>91</v>
      </c>
      <c r="J37" s="85">
        <v>1</v>
      </c>
      <c r="K37" s="85">
        <v>2</v>
      </c>
      <c r="L37" s="85">
        <v>3</v>
      </c>
      <c r="M37" s="85">
        <v>3</v>
      </c>
      <c r="N37" s="257">
        <v>3</v>
      </c>
      <c r="O37" s="351" t="s">
        <v>64</v>
      </c>
      <c r="P37" s="352" t="s">
        <v>64</v>
      </c>
      <c r="Q37" s="352" t="s">
        <v>64</v>
      </c>
      <c r="R37" s="353" t="s">
        <v>238</v>
      </c>
      <c r="S37" s="354" t="s">
        <v>64</v>
      </c>
      <c r="T37" s="151"/>
      <c r="U37" s="1"/>
      <c r="V37" s="1"/>
      <c r="W37" s="112"/>
      <c r="X37" s="312"/>
      <c r="Y37" s="235"/>
      <c r="Z37" s="186"/>
      <c r="AA37" s="214"/>
      <c r="AB37" s="112"/>
      <c r="AC37" s="4"/>
      <c r="AD37" s="235"/>
      <c r="AE37" s="186"/>
      <c r="AF37" s="214"/>
      <c r="AG37" s="112"/>
      <c r="AH37" s="239"/>
      <c r="AI37" s="2" t="s">
        <v>92</v>
      </c>
      <c r="AJ37" s="3" t="s">
        <v>92</v>
      </c>
      <c r="AK37" s="3" t="s">
        <v>92</v>
      </c>
      <c r="AL37" s="153">
        <v>0</v>
      </c>
      <c r="AM37" s="151">
        <v>1</v>
      </c>
      <c r="AN37" s="1" t="s">
        <v>64</v>
      </c>
      <c r="AO37" s="106" t="s">
        <v>64</v>
      </c>
      <c r="AP37" s="107">
        <v>0</v>
      </c>
      <c r="AQ37" s="150">
        <v>2</v>
      </c>
      <c r="AR37" s="1" t="s">
        <v>64</v>
      </c>
      <c r="AS37" s="106" t="s">
        <v>64</v>
      </c>
      <c r="AT37" s="181">
        <v>0</v>
      </c>
      <c r="AU37" s="335">
        <f t="shared" si="0"/>
        <v>3</v>
      </c>
      <c r="AV37" s="1" t="s">
        <v>64</v>
      </c>
      <c r="AW37" s="106" t="s">
        <v>64</v>
      </c>
      <c r="AX37" s="181">
        <v>0</v>
      </c>
      <c r="AY37" s="15"/>
      <c r="AZ37" s="3"/>
      <c r="BA37" s="3"/>
      <c r="BB37" s="4"/>
      <c r="BC37" s="93"/>
    </row>
    <row r="38" spans="1:59" ht="110.1" customHeight="1" x14ac:dyDescent="0.25">
      <c r="A38" s="220" t="s">
        <v>107</v>
      </c>
      <c r="B38" s="169">
        <v>16</v>
      </c>
      <c r="C38" s="81" t="s">
        <v>134</v>
      </c>
      <c r="D38" s="82" t="s">
        <v>130</v>
      </c>
      <c r="E38" s="82" t="s">
        <v>135</v>
      </c>
      <c r="F38" s="83" t="s">
        <v>136</v>
      </c>
      <c r="G38" s="3" t="s">
        <v>10</v>
      </c>
      <c r="H38" s="4" t="s">
        <v>133</v>
      </c>
      <c r="I38" s="2" t="s">
        <v>91</v>
      </c>
      <c r="J38" s="85">
        <v>1</v>
      </c>
      <c r="K38" s="85">
        <v>2</v>
      </c>
      <c r="L38" s="85">
        <v>3</v>
      </c>
      <c r="M38" s="85">
        <v>3</v>
      </c>
      <c r="N38" s="257">
        <v>3</v>
      </c>
      <c r="O38" s="351" t="s">
        <v>64</v>
      </c>
      <c r="P38" s="352" t="s">
        <v>64</v>
      </c>
      <c r="Q38" s="352" t="s">
        <v>64</v>
      </c>
      <c r="R38" s="355" t="s">
        <v>239</v>
      </c>
      <c r="S38" s="354" t="s">
        <v>64</v>
      </c>
      <c r="T38" s="151"/>
      <c r="U38" s="1"/>
      <c r="V38" s="106"/>
      <c r="W38" s="112"/>
      <c r="X38" s="315"/>
      <c r="Y38" s="235"/>
      <c r="Z38" s="186"/>
      <c r="AA38" s="214"/>
      <c r="AB38" s="83"/>
      <c r="AC38" s="4"/>
      <c r="AD38" s="235"/>
      <c r="AE38" s="186"/>
      <c r="AF38" s="214"/>
      <c r="AG38" s="83"/>
      <c r="AH38" s="254"/>
      <c r="AI38" s="2" t="s">
        <v>92</v>
      </c>
      <c r="AJ38" s="3" t="s">
        <v>92</v>
      </c>
      <c r="AK38" s="3" t="s">
        <v>92</v>
      </c>
      <c r="AL38" s="153">
        <v>0</v>
      </c>
      <c r="AM38" s="156">
        <v>1</v>
      </c>
      <c r="AN38" s="1">
        <v>1</v>
      </c>
      <c r="AO38" s="108">
        <v>1</v>
      </c>
      <c r="AP38" s="175">
        <f>1/3</f>
        <v>0.33333333333333331</v>
      </c>
      <c r="AQ38" s="260">
        <v>2</v>
      </c>
      <c r="AR38" s="261">
        <v>1</v>
      </c>
      <c r="AS38" s="181">
        <v>0.5</v>
      </c>
      <c r="AT38" s="262">
        <v>0.33333000000000002</v>
      </c>
      <c r="AU38" s="335">
        <f t="shared" si="0"/>
        <v>3</v>
      </c>
      <c r="AV38" s="1" t="s">
        <v>64</v>
      </c>
      <c r="AW38" s="106" t="s">
        <v>64</v>
      </c>
      <c r="AX38" s="310">
        <v>0.33329999999999999</v>
      </c>
      <c r="AY38" s="22"/>
      <c r="AZ38" s="23"/>
      <c r="BA38" s="23"/>
      <c r="BB38" s="24"/>
      <c r="BC38" s="93"/>
    </row>
    <row r="39" spans="1:59" ht="210" x14ac:dyDescent="0.25">
      <c r="A39" s="200" t="s">
        <v>137</v>
      </c>
      <c r="B39" s="170">
        <v>17</v>
      </c>
      <c r="C39" s="81" t="s">
        <v>138</v>
      </c>
      <c r="D39" s="82" t="s">
        <v>81</v>
      </c>
      <c r="E39" s="82" t="s">
        <v>139</v>
      </c>
      <c r="F39" s="83" t="s">
        <v>139</v>
      </c>
      <c r="G39" s="3" t="s">
        <v>10</v>
      </c>
      <c r="H39" s="4" t="s">
        <v>69</v>
      </c>
      <c r="I39" s="84">
        <v>0.3</v>
      </c>
      <c r="J39" s="85">
        <v>0.5</v>
      </c>
      <c r="K39" s="85">
        <v>0.7</v>
      </c>
      <c r="L39" s="85">
        <v>0.9</v>
      </c>
      <c r="M39" s="85">
        <v>1</v>
      </c>
      <c r="N39" s="257">
        <v>1</v>
      </c>
      <c r="O39" s="151">
        <v>0.1</v>
      </c>
      <c r="P39" s="1">
        <v>0.1</v>
      </c>
      <c r="Q39" s="106">
        <v>1</v>
      </c>
      <c r="R39" s="112" t="s">
        <v>250</v>
      </c>
      <c r="S39" s="312" t="s">
        <v>251</v>
      </c>
      <c r="T39" s="151"/>
      <c r="U39" s="1"/>
      <c r="V39" s="106"/>
      <c r="W39" s="112"/>
      <c r="X39" s="312"/>
      <c r="Y39" s="280"/>
      <c r="Z39" s="208"/>
      <c r="AA39" s="181"/>
      <c r="AB39" s="224"/>
      <c r="AC39" s="201"/>
      <c r="AD39" s="86"/>
      <c r="AE39" s="5"/>
      <c r="AF39" s="92"/>
      <c r="AG39" s="197"/>
      <c r="AH39" s="201"/>
      <c r="AI39" s="2">
        <v>0.3</v>
      </c>
      <c r="AJ39" s="3">
        <v>0.3</v>
      </c>
      <c r="AK39" s="20">
        <v>1</v>
      </c>
      <c r="AL39" s="202">
        <v>0.3</v>
      </c>
      <c r="AM39" s="160">
        <v>0.5</v>
      </c>
      <c r="AN39" s="128">
        <f>AJ39+O39+T39+Y39+AD39</f>
        <v>0.4</v>
      </c>
      <c r="AO39" s="106">
        <v>1</v>
      </c>
      <c r="AP39" s="107">
        <v>0.5</v>
      </c>
      <c r="AQ39" s="183">
        <v>0.7</v>
      </c>
      <c r="AR39" s="198">
        <v>0.7</v>
      </c>
      <c r="AS39" s="20">
        <v>1.0000000000000002</v>
      </c>
      <c r="AT39" s="269">
        <v>0.70000000000000018</v>
      </c>
      <c r="AU39" s="334">
        <f t="shared" si="0"/>
        <v>0.9</v>
      </c>
      <c r="AV39" s="113">
        <f>AR39+O39</f>
        <v>0.79999999999999993</v>
      </c>
      <c r="AW39" s="357">
        <f>AV39/AU39</f>
        <v>0.88888888888888884</v>
      </c>
      <c r="AX39" s="21">
        <v>0.6</v>
      </c>
      <c r="AY39" s="30"/>
      <c r="AZ39" s="31"/>
      <c r="BA39" s="31"/>
      <c r="BB39" s="32"/>
    </row>
    <row r="40" spans="1:59" ht="198" customHeight="1" x14ac:dyDescent="0.25">
      <c r="A40" s="200" t="s">
        <v>137</v>
      </c>
      <c r="B40" s="170">
        <v>18</v>
      </c>
      <c r="C40" s="137" t="s">
        <v>140</v>
      </c>
      <c r="D40" s="82" t="s">
        <v>81</v>
      </c>
      <c r="E40" s="82" t="s">
        <v>141</v>
      </c>
      <c r="F40" s="83" t="s">
        <v>142</v>
      </c>
      <c r="G40" s="3" t="s">
        <v>10</v>
      </c>
      <c r="H40" s="4" t="s">
        <v>112</v>
      </c>
      <c r="I40" s="2" t="s">
        <v>91</v>
      </c>
      <c r="J40" s="85">
        <v>0.3</v>
      </c>
      <c r="K40" s="85">
        <v>1</v>
      </c>
      <c r="L40" s="85">
        <v>0</v>
      </c>
      <c r="M40" s="85">
        <v>0</v>
      </c>
      <c r="N40" s="257">
        <v>1</v>
      </c>
      <c r="O40" s="151" t="s">
        <v>64</v>
      </c>
      <c r="P40" s="1" t="s">
        <v>64</v>
      </c>
      <c r="Q40" s="1" t="s">
        <v>64</v>
      </c>
      <c r="R40" s="1" t="s">
        <v>64</v>
      </c>
      <c r="S40" s="1" t="s">
        <v>64</v>
      </c>
      <c r="T40" s="151"/>
      <c r="U40" s="1"/>
      <c r="V40" s="106"/>
      <c r="W40" s="112"/>
      <c r="X40" s="312"/>
      <c r="Y40" s="242"/>
      <c r="Z40" s="176"/>
      <c r="AA40" s="181"/>
      <c r="AB40" s="276"/>
      <c r="AC40" s="212"/>
      <c r="AD40" s="328"/>
      <c r="AE40" s="304"/>
      <c r="AF40" s="181"/>
      <c r="AG40" s="211"/>
      <c r="AH40" s="201"/>
      <c r="AI40" s="2" t="s">
        <v>92</v>
      </c>
      <c r="AJ40" s="3" t="s">
        <v>92</v>
      </c>
      <c r="AK40" s="3" t="s">
        <v>92</v>
      </c>
      <c r="AL40" s="153">
        <v>0</v>
      </c>
      <c r="AM40" s="161">
        <v>0.3</v>
      </c>
      <c r="AN40" s="226">
        <v>0.3</v>
      </c>
      <c r="AO40" s="108">
        <v>1</v>
      </c>
      <c r="AP40" s="109">
        <v>0.3</v>
      </c>
      <c r="AQ40" s="260">
        <v>1</v>
      </c>
      <c r="AR40" s="261">
        <v>1</v>
      </c>
      <c r="AS40" s="181">
        <v>1</v>
      </c>
      <c r="AT40" s="267">
        <v>1</v>
      </c>
      <c r="AU40" s="335" t="s">
        <v>244</v>
      </c>
      <c r="AV40" s="181" t="s">
        <v>244</v>
      </c>
      <c r="AW40" s="181" t="s">
        <v>244</v>
      </c>
      <c r="AX40" s="267">
        <v>1</v>
      </c>
      <c r="AY40" s="28"/>
      <c r="AZ40" s="92"/>
      <c r="BA40" s="92"/>
      <c r="BB40" s="29"/>
    </row>
    <row r="41" spans="1:59" ht="116.25" customHeight="1" x14ac:dyDescent="0.25">
      <c r="A41" s="200" t="s">
        <v>137</v>
      </c>
      <c r="B41" s="171">
        <v>18</v>
      </c>
      <c r="C41" s="137" t="s">
        <v>140</v>
      </c>
      <c r="D41" s="82" t="s">
        <v>66</v>
      </c>
      <c r="E41" s="82" t="s">
        <v>143</v>
      </c>
      <c r="F41" s="83" t="s">
        <v>144</v>
      </c>
      <c r="G41" s="3" t="s">
        <v>16</v>
      </c>
      <c r="H41" s="4" t="s">
        <v>112</v>
      </c>
      <c r="I41" s="84">
        <v>0.24</v>
      </c>
      <c r="J41" s="85">
        <v>0.5</v>
      </c>
      <c r="K41" s="85">
        <v>0.26</v>
      </c>
      <c r="L41" s="85">
        <v>0</v>
      </c>
      <c r="M41" s="85">
        <v>0</v>
      </c>
      <c r="N41" s="257">
        <f t="shared" ref="N41:N50" si="2">SUM(I41:M41)</f>
        <v>1</v>
      </c>
      <c r="O41" s="151" t="s">
        <v>224</v>
      </c>
      <c r="P41" s="106" t="s">
        <v>224</v>
      </c>
      <c r="Q41" s="106" t="s">
        <v>224</v>
      </c>
      <c r="R41" s="112" t="s">
        <v>224</v>
      </c>
      <c r="S41" s="239" t="s">
        <v>64</v>
      </c>
      <c r="T41" s="151"/>
      <c r="U41" s="1"/>
      <c r="V41" s="106"/>
      <c r="W41" s="112"/>
      <c r="X41" s="312"/>
      <c r="Y41" s="241"/>
      <c r="Z41" s="113"/>
      <c r="AA41" s="181"/>
      <c r="AB41" s="211"/>
      <c r="AC41" s="285"/>
      <c r="AD41" s="331"/>
      <c r="AE41" s="218"/>
      <c r="AF41" s="92"/>
      <c r="AG41" s="197"/>
      <c r="AH41" s="201"/>
      <c r="AI41" s="248">
        <v>0.24</v>
      </c>
      <c r="AJ41" s="198">
        <v>0.24</v>
      </c>
      <c r="AK41" s="26">
        <v>1</v>
      </c>
      <c r="AL41" s="153">
        <v>0.24</v>
      </c>
      <c r="AM41" s="160">
        <v>0.5</v>
      </c>
      <c r="AN41" s="226">
        <v>0.5</v>
      </c>
      <c r="AO41" s="108">
        <f>+AN41/AM41</f>
        <v>1</v>
      </c>
      <c r="AP41" s="109">
        <f>(AJ41+AN41)</f>
        <v>0.74</v>
      </c>
      <c r="AQ41" s="183">
        <v>0.26</v>
      </c>
      <c r="AR41" s="113">
        <v>0.26</v>
      </c>
      <c r="AS41" s="181">
        <v>1</v>
      </c>
      <c r="AT41" s="21">
        <v>1</v>
      </c>
      <c r="AU41" s="335" t="s">
        <v>64</v>
      </c>
      <c r="AV41" s="20" t="s">
        <v>64</v>
      </c>
      <c r="AW41" s="20" t="s">
        <v>64</v>
      </c>
      <c r="AX41" s="21">
        <v>1</v>
      </c>
      <c r="AY41" s="30"/>
      <c r="AZ41" s="31"/>
      <c r="BA41" s="31"/>
      <c r="BB41" s="32"/>
    </row>
    <row r="42" spans="1:59" ht="99.6" customHeight="1" x14ac:dyDescent="0.25">
      <c r="A42" s="200" t="s">
        <v>137</v>
      </c>
      <c r="B42" s="169">
        <v>19</v>
      </c>
      <c r="C42" s="81" t="s">
        <v>145</v>
      </c>
      <c r="D42" s="82" t="s">
        <v>84</v>
      </c>
      <c r="E42" s="82" t="s">
        <v>146</v>
      </c>
      <c r="F42" s="83" t="s">
        <v>147</v>
      </c>
      <c r="G42" s="3" t="s">
        <v>16</v>
      </c>
      <c r="H42" s="4" t="s">
        <v>148</v>
      </c>
      <c r="I42" s="345">
        <v>28197</v>
      </c>
      <c r="J42" s="346">
        <v>30000</v>
      </c>
      <c r="K42" s="346">
        <v>20639</v>
      </c>
      <c r="L42" s="346">
        <v>13778</v>
      </c>
      <c r="M42" s="346">
        <v>7386</v>
      </c>
      <c r="N42" s="347">
        <f t="shared" si="2"/>
        <v>100000</v>
      </c>
      <c r="O42" s="337">
        <v>3539</v>
      </c>
      <c r="P42" s="348">
        <v>3539</v>
      </c>
      <c r="Q42" s="349">
        <v>1</v>
      </c>
      <c r="R42" s="112" t="s">
        <v>200</v>
      </c>
      <c r="S42" s="312" t="s">
        <v>208</v>
      </c>
      <c r="T42" s="227"/>
      <c r="U42" s="228"/>
      <c r="V42" s="106"/>
      <c r="W42" s="112"/>
      <c r="X42" s="322"/>
      <c r="Y42" s="229"/>
      <c r="Z42" s="252"/>
      <c r="AA42" s="181"/>
      <c r="AB42" s="83"/>
      <c r="AC42" s="196"/>
      <c r="AD42" s="229"/>
      <c r="AE42" s="252"/>
      <c r="AF42" s="296"/>
      <c r="AG42" s="197"/>
      <c r="AH42" s="201"/>
      <c r="AI42" s="249">
        <v>28197</v>
      </c>
      <c r="AJ42" s="230">
        <v>29150</v>
      </c>
      <c r="AK42" s="26">
        <f>+AJ42/AI42</f>
        <v>1.0337979217647268</v>
      </c>
      <c r="AL42" s="231">
        <v>0.29149999999999998</v>
      </c>
      <c r="AM42" s="232">
        <v>30000</v>
      </c>
      <c r="AN42" s="188">
        <v>30297</v>
      </c>
      <c r="AO42" s="106">
        <v>1</v>
      </c>
      <c r="AP42" s="109">
        <f>+(AJ42+AN42)/N42</f>
        <v>0.59447000000000005</v>
      </c>
      <c r="AQ42" s="343">
        <v>20639</v>
      </c>
      <c r="AR42" s="252">
        <v>20648</v>
      </c>
      <c r="AS42" s="20">
        <v>1.0004360676389359</v>
      </c>
      <c r="AT42" s="21">
        <f>(AJ42+AN42+AR42)/100000</f>
        <v>0.80095000000000005</v>
      </c>
      <c r="AU42" s="342">
        <f t="shared" si="0"/>
        <v>13778</v>
      </c>
      <c r="AV42" s="252">
        <f>O42</f>
        <v>3539</v>
      </c>
      <c r="AW42" s="20">
        <f>AV42/AU42</f>
        <v>0.2568587603425751</v>
      </c>
      <c r="AX42" s="344">
        <f>(AJ42+AN42+AR42+AV42)/100000</f>
        <v>0.83633999999999997</v>
      </c>
      <c r="AY42" s="30"/>
      <c r="AZ42" s="31"/>
      <c r="BA42" s="31"/>
      <c r="BB42" s="32"/>
    </row>
    <row r="43" spans="1:59" ht="95.1" customHeight="1" x14ac:dyDescent="0.25">
      <c r="A43" s="200" t="s">
        <v>137</v>
      </c>
      <c r="B43" s="169">
        <v>20</v>
      </c>
      <c r="C43" s="81" t="s">
        <v>149</v>
      </c>
      <c r="D43" s="82" t="s">
        <v>104</v>
      </c>
      <c r="E43" s="82" t="s">
        <v>150</v>
      </c>
      <c r="F43" s="83" t="s">
        <v>151</v>
      </c>
      <c r="G43" s="3" t="s">
        <v>16</v>
      </c>
      <c r="H43" s="6" t="s">
        <v>57</v>
      </c>
      <c r="I43" s="89">
        <v>0.1</v>
      </c>
      <c r="J43" s="90">
        <v>0.25</v>
      </c>
      <c r="K43" s="90">
        <v>0.25</v>
      </c>
      <c r="L43" s="90">
        <v>0.2</v>
      </c>
      <c r="M43" s="90">
        <v>0.2</v>
      </c>
      <c r="N43" s="350">
        <f t="shared" si="2"/>
        <v>1</v>
      </c>
      <c r="O43" s="155">
        <v>0.06</v>
      </c>
      <c r="P43" s="106">
        <v>0.06</v>
      </c>
      <c r="Q43" s="106">
        <v>1</v>
      </c>
      <c r="R43" s="112" t="s">
        <v>201</v>
      </c>
      <c r="S43" s="312" t="s">
        <v>209</v>
      </c>
      <c r="T43" s="159"/>
      <c r="U43" s="106"/>
      <c r="V43" s="106"/>
      <c r="W43" s="112"/>
      <c r="X43" s="312"/>
      <c r="Y43" s="286"/>
      <c r="Z43" s="190"/>
      <c r="AA43" s="20"/>
      <c r="AB43" s="83"/>
      <c r="AC43" s="196"/>
      <c r="AD43" s="25"/>
      <c r="AE43" s="26"/>
      <c r="AF43" s="92"/>
      <c r="AG43" s="197"/>
      <c r="AH43" s="201"/>
      <c r="AI43" s="124">
        <v>0.1</v>
      </c>
      <c r="AJ43" s="26">
        <v>0.1</v>
      </c>
      <c r="AK43" s="26">
        <v>1</v>
      </c>
      <c r="AL43" s="153">
        <v>0.1</v>
      </c>
      <c r="AM43" s="159">
        <v>0.25</v>
      </c>
      <c r="AN43" s="108">
        <v>0.25</v>
      </c>
      <c r="AO43" s="108">
        <f>+AN43/AM43</f>
        <v>1</v>
      </c>
      <c r="AP43" s="109">
        <f>+(AJ43+AN43)/N43</f>
        <v>0.35</v>
      </c>
      <c r="AQ43" s="123">
        <v>0.25</v>
      </c>
      <c r="AR43" s="20">
        <v>0.25</v>
      </c>
      <c r="AS43" s="20">
        <v>1</v>
      </c>
      <c r="AT43" s="21">
        <v>0.6</v>
      </c>
      <c r="AU43" s="9">
        <f t="shared" si="0"/>
        <v>0.2</v>
      </c>
      <c r="AV43" s="20">
        <f t="shared" ref="AV43:AV50" si="3">O43</f>
        <v>0.06</v>
      </c>
      <c r="AW43" s="20">
        <f t="shared" ref="AW43:AW47" si="4">AV43/AU43</f>
        <v>0.3</v>
      </c>
      <c r="AX43" s="21">
        <f>AT43+(AU43*AW43)</f>
        <v>0.65999999999999992</v>
      </c>
      <c r="AY43" s="33"/>
      <c r="AZ43" s="34"/>
      <c r="BA43" s="34"/>
      <c r="BB43" s="35"/>
    </row>
    <row r="44" spans="1:59" ht="101.1" customHeight="1" x14ac:dyDescent="0.25">
      <c r="A44" s="200" t="s">
        <v>137</v>
      </c>
      <c r="B44" s="169">
        <v>21</v>
      </c>
      <c r="C44" s="81" t="s">
        <v>152</v>
      </c>
      <c r="D44" s="82" t="s">
        <v>104</v>
      </c>
      <c r="E44" s="82" t="s">
        <v>153</v>
      </c>
      <c r="F44" s="83" t="s">
        <v>154</v>
      </c>
      <c r="G44" s="3" t="s">
        <v>16</v>
      </c>
      <c r="H44" s="4" t="s">
        <v>155</v>
      </c>
      <c r="I44" s="2" t="s">
        <v>91</v>
      </c>
      <c r="J44" s="3" t="s">
        <v>91</v>
      </c>
      <c r="K44" s="3">
        <v>30</v>
      </c>
      <c r="L44" s="3">
        <v>30</v>
      </c>
      <c r="M44" s="3">
        <v>20</v>
      </c>
      <c r="N44" s="257">
        <f t="shared" si="2"/>
        <v>80</v>
      </c>
      <c r="O44" s="151">
        <v>3</v>
      </c>
      <c r="P44" s="151">
        <v>3</v>
      </c>
      <c r="Q44" s="348">
        <v>1</v>
      </c>
      <c r="R44" s="112" t="s">
        <v>225</v>
      </c>
      <c r="S44" s="312" t="s">
        <v>210</v>
      </c>
      <c r="T44" s="151"/>
      <c r="U44" s="1"/>
      <c r="V44" s="106"/>
      <c r="W44" s="112"/>
      <c r="X44" s="323"/>
      <c r="Y44" s="235"/>
      <c r="Z44" s="186"/>
      <c r="AA44" s="190"/>
      <c r="AB44" s="233"/>
      <c r="AC44" s="234"/>
      <c r="AD44" s="235"/>
      <c r="AE44" s="186"/>
      <c r="AF44" s="301"/>
      <c r="AG44" s="233"/>
      <c r="AH44" s="234"/>
      <c r="AI44" s="213" t="s">
        <v>92</v>
      </c>
      <c r="AJ44" s="186" t="s">
        <v>92</v>
      </c>
      <c r="AK44" s="186" t="s">
        <v>92</v>
      </c>
      <c r="AL44" s="153">
        <v>0</v>
      </c>
      <c r="AM44" s="174" t="s">
        <v>64</v>
      </c>
      <c r="AN44" s="114" t="s">
        <v>64</v>
      </c>
      <c r="AO44" s="108" t="s">
        <v>64</v>
      </c>
      <c r="AP44" s="109">
        <v>0</v>
      </c>
      <c r="AQ44" s="150">
        <v>30</v>
      </c>
      <c r="AR44" s="207">
        <v>30</v>
      </c>
      <c r="AS44" s="20">
        <v>1</v>
      </c>
      <c r="AT44" s="336">
        <v>0.375</v>
      </c>
      <c r="AU44" s="335">
        <f t="shared" si="0"/>
        <v>30</v>
      </c>
      <c r="AV44" s="5">
        <f t="shared" si="3"/>
        <v>3</v>
      </c>
      <c r="AW44" s="20">
        <f>AV44/AU44</f>
        <v>0.1</v>
      </c>
      <c r="AX44" s="344">
        <f>33/80</f>
        <v>0.41249999999999998</v>
      </c>
      <c r="AY44" s="15"/>
      <c r="AZ44" s="3"/>
      <c r="BA44" s="3"/>
      <c r="BB44" s="4"/>
    </row>
    <row r="45" spans="1:59" ht="93.95" customHeight="1" x14ac:dyDescent="0.25">
      <c r="A45" s="200" t="s">
        <v>137</v>
      </c>
      <c r="B45" s="169">
        <v>22</v>
      </c>
      <c r="C45" s="81" t="s">
        <v>226</v>
      </c>
      <c r="D45" s="82" t="s">
        <v>104</v>
      </c>
      <c r="E45" s="82" t="s">
        <v>156</v>
      </c>
      <c r="F45" s="83" t="s">
        <v>157</v>
      </c>
      <c r="G45" s="3" t="s">
        <v>16</v>
      </c>
      <c r="H45" s="4" t="s">
        <v>155</v>
      </c>
      <c r="I45" s="84">
        <v>15</v>
      </c>
      <c r="J45" s="85">
        <v>33</v>
      </c>
      <c r="K45" s="85">
        <v>67</v>
      </c>
      <c r="L45" s="85">
        <v>140</v>
      </c>
      <c r="M45" s="85">
        <v>55</v>
      </c>
      <c r="N45" s="257">
        <f t="shared" si="2"/>
        <v>310</v>
      </c>
      <c r="O45" s="151">
        <v>10</v>
      </c>
      <c r="P45" s="189">
        <v>10</v>
      </c>
      <c r="Q45" s="349">
        <v>1</v>
      </c>
      <c r="R45" s="112" t="s">
        <v>227</v>
      </c>
      <c r="S45" s="312" t="s">
        <v>211</v>
      </c>
      <c r="T45" s="151"/>
      <c r="U45" s="1"/>
      <c r="V45" s="106"/>
      <c r="W45" s="112"/>
      <c r="X45" s="324"/>
      <c r="Y45" s="206"/>
      <c r="Z45" s="186"/>
      <c r="AA45" s="181"/>
      <c r="AB45" s="83"/>
      <c r="AC45" s="196"/>
      <c r="AD45" s="86"/>
      <c r="AE45" s="5"/>
      <c r="AF45" s="26"/>
      <c r="AG45" s="197"/>
      <c r="AH45" s="201"/>
      <c r="AI45" s="2">
        <v>15</v>
      </c>
      <c r="AJ45" s="3">
        <v>15</v>
      </c>
      <c r="AK45" s="26">
        <v>1</v>
      </c>
      <c r="AL45" s="199">
        <f>15/300</f>
        <v>0.05</v>
      </c>
      <c r="AM45" s="174">
        <v>33</v>
      </c>
      <c r="AN45" s="188">
        <v>33</v>
      </c>
      <c r="AO45" s="108">
        <f>+AN45/AM45</f>
        <v>1</v>
      </c>
      <c r="AP45" s="109">
        <f>+(AN45+AJ45)/N45</f>
        <v>0.15483870967741936</v>
      </c>
      <c r="AQ45" s="185">
        <v>67</v>
      </c>
      <c r="AR45" s="207">
        <v>67</v>
      </c>
      <c r="AS45" s="20">
        <v>1</v>
      </c>
      <c r="AT45" s="109">
        <v>0.38</v>
      </c>
      <c r="AU45" s="335">
        <f t="shared" si="0"/>
        <v>140</v>
      </c>
      <c r="AV45" s="5">
        <f t="shared" si="3"/>
        <v>10</v>
      </c>
      <c r="AW45" s="20">
        <f>AV45/AU45</f>
        <v>7.1428571428571425E-2</v>
      </c>
      <c r="AX45" s="344">
        <f>125/310</f>
        <v>0.40322580645161288</v>
      </c>
      <c r="AY45" s="15"/>
      <c r="AZ45" s="3"/>
      <c r="BA45" s="3"/>
      <c r="BB45" s="4"/>
    </row>
    <row r="46" spans="1:59" ht="80.45" customHeight="1" x14ac:dyDescent="0.25">
      <c r="A46" s="200" t="s">
        <v>137</v>
      </c>
      <c r="B46" s="169">
        <v>23</v>
      </c>
      <c r="C46" s="81" t="s">
        <v>158</v>
      </c>
      <c r="D46" s="82" t="s">
        <v>104</v>
      </c>
      <c r="E46" s="82" t="s">
        <v>159</v>
      </c>
      <c r="F46" s="83" t="s">
        <v>160</v>
      </c>
      <c r="G46" s="3" t="s">
        <v>16</v>
      </c>
      <c r="H46" s="4" t="s">
        <v>161</v>
      </c>
      <c r="I46" s="84">
        <v>15</v>
      </c>
      <c r="J46" s="85">
        <v>106</v>
      </c>
      <c r="K46" s="85">
        <v>67</v>
      </c>
      <c r="L46" s="85">
        <v>37</v>
      </c>
      <c r="M46" s="85">
        <v>25</v>
      </c>
      <c r="N46" s="257">
        <f t="shared" si="2"/>
        <v>250</v>
      </c>
      <c r="O46" s="151">
        <v>10</v>
      </c>
      <c r="P46" s="189">
        <v>10</v>
      </c>
      <c r="Q46" s="349">
        <v>1</v>
      </c>
      <c r="R46" s="112" t="s">
        <v>228</v>
      </c>
      <c r="S46" s="312" t="s">
        <v>212</v>
      </c>
      <c r="T46" s="151"/>
      <c r="U46" s="1"/>
      <c r="V46" s="106"/>
      <c r="W46" s="112"/>
      <c r="X46" s="325"/>
      <c r="Y46" s="206"/>
      <c r="Z46" s="186"/>
      <c r="AA46" s="181"/>
      <c r="AB46" s="83"/>
      <c r="AC46" s="278"/>
      <c r="AD46" s="86"/>
      <c r="AE46" s="5"/>
      <c r="AF46" s="26"/>
      <c r="AG46" s="197"/>
      <c r="AH46" s="201"/>
      <c r="AI46" s="2">
        <v>15</v>
      </c>
      <c r="AJ46" s="3">
        <v>15</v>
      </c>
      <c r="AK46" s="26">
        <v>1</v>
      </c>
      <c r="AL46" s="199">
        <f>15/250</f>
        <v>0.06</v>
      </c>
      <c r="AM46" s="174">
        <v>106</v>
      </c>
      <c r="AN46" s="188">
        <v>106</v>
      </c>
      <c r="AO46" s="108">
        <f>AN46/AM46</f>
        <v>1</v>
      </c>
      <c r="AP46" s="109">
        <f>+(AN46+AJ46)/N46</f>
        <v>0.48399999999999999</v>
      </c>
      <c r="AQ46" s="185">
        <v>67</v>
      </c>
      <c r="AR46" s="207">
        <v>67</v>
      </c>
      <c r="AS46" s="20">
        <v>1</v>
      </c>
      <c r="AT46" s="109">
        <v>0.752</v>
      </c>
      <c r="AU46" s="335">
        <f t="shared" si="0"/>
        <v>37</v>
      </c>
      <c r="AV46" s="5">
        <f t="shared" si="3"/>
        <v>10</v>
      </c>
      <c r="AW46" s="20">
        <f>AV46/AU46</f>
        <v>0.27027027027027029</v>
      </c>
      <c r="AX46" s="344">
        <f>198/250</f>
        <v>0.79200000000000004</v>
      </c>
      <c r="AY46" s="15"/>
      <c r="AZ46" s="3"/>
      <c r="BA46" s="3"/>
      <c r="BB46" s="4"/>
    </row>
    <row r="47" spans="1:59" ht="254.1" customHeight="1" x14ac:dyDescent="0.25">
      <c r="A47" s="200" t="s">
        <v>137</v>
      </c>
      <c r="B47" s="169">
        <v>24</v>
      </c>
      <c r="C47" s="81" t="s">
        <v>162</v>
      </c>
      <c r="D47" s="82" t="s">
        <v>163</v>
      </c>
      <c r="E47" s="82" t="s">
        <v>164</v>
      </c>
      <c r="F47" s="83" t="s">
        <v>165</v>
      </c>
      <c r="G47" s="3" t="s">
        <v>12</v>
      </c>
      <c r="H47" s="4" t="s">
        <v>69</v>
      </c>
      <c r="I47" s="84">
        <v>1</v>
      </c>
      <c r="J47" s="85">
        <v>1</v>
      </c>
      <c r="K47" s="85">
        <v>1</v>
      </c>
      <c r="L47" s="85">
        <v>1</v>
      </c>
      <c r="M47" s="85">
        <v>1</v>
      </c>
      <c r="N47" s="257">
        <v>1</v>
      </c>
      <c r="O47" s="217">
        <v>0.11</v>
      </c>
      <c r="P47" s="217">
        <v>0.11</v>
      </c>
      <c r="Q47" s="106">
        <v>1</v>
      </c>
      <c r="R47" s="112" t="s">
        <v>229</v>
      </c>
      <c r="S47" s="312" t="s">
        <v>213</v>
      </c>
      <c r="T47" s="151"/>
      <c r="U47" s="1"/>
      <c r="V47" s="106"/>
      <c r="W47" s="112"/>
      <c r="X47" s="312"/>
      <c r="Y47" s="287"/>
      <c r="Z47" s="187"/>
      <c r="AA47" s="187"/>
      <c r="AB47" s="275"/>
      <c r="AC47" s="290"/>
      <c r="AD47" s="86"/>
      <c r="AE47" s="5"/>
      <c r="AF47" s="26"/>
      <c r="AG47" s="225"/>
      <c r="AH47" s="201"/>
      <c r="AI47" s="2">
        <v>1</v>
      </c>
      <c r="AJ47" s="3">
        <v>1</v>
      </c>
      <c r="AK47" s="92">
        <f>AJ47/AI47</f>
        <v>1</v>
      </c>
      <c r="AL47" s="153">
        <v>0.2</v>
      </c>
      <c r="AM47" s="151">
        <v>1</v>
      </c>
      <c r="AN47" s="188">
        <v>1</v>
      </c>
      <c r="AO47" s="108">
        <f>AN47/AM47</f>
        <v>1</v>
      </c>
      <c r="AP47" s="109">
        <f>AL47+(20%*AO47)</f>
        <v>0.4</v>
      </c>
      <c r="AQ47" s="185">
        <v>1</v>
      </c>
      <c r="AR47" s="207">
        <v>1</v>
      </c>
      <c r="AS47" s="20">
        <v>1</v>
      </c>
      <c r="AT47" s="109">
        <v>0.6</v>
      </c>
      <c r="AU47" s="335">
        <f t="shared" si="0"/>
        <v>1</v>
      </c>
      <c r="AV47" s="113">
        <f t="shared" si="3"/>
        <v>0.11</v>
      </c>
      <c r="AW47" s="20">
        <f t="shared" si="4"/>
        <v>0.11</v>
      </c>
      <c r="AX47" s="21">
        <f>AT47+(20%*AW47)</f>
        <v>0.622</v>
      </c>
      <c r="AY47" s="15"/>
      <c r="AZ47" s="3"/>
      <c r="BA47" s="3"/>
      <c r="BB47" s="4"/>
      <c r="BC47" s="93"/>
    </row>
    <row r="48" spans="1:59" ht="165.6" customHeight="1" x14ac:dyDescent="0.25">
      <c r="A48" s="200" t="s">
        <v>137</v>
      </c>
      <c r="B48" s="169">
        <v>25</v>
      </c>
      <c r="C48" s="81" t="s">
        <v>217</v>
      </c>
      <c r="D48" s="82" t="s">
        <v>66</v>
      </c>
      <c r="E48" s="82" t="s">
        <v>166</v>
      </c>
      <c r="F48" s="83" t="s">
        <v>167</v>
      </c>
      <c r="G48" s="3" t="s">
        <v>16</v>
      </c>
      <c r="H48" s="6" t="s">
        <v>168</v>
      </c>
      <c r="I48" s="94">
        <v>11</v>
      </c>
      <c r="J48" s="95">
        <v>63</v>
      </c>
      <c r="K48" s="95">
        <v>99</v>
      </c>
      <c r="L48" s="95">
        <v>152</v>
      </c>
      <c r="M48" s="95">
        <v>10</v>
      </c>
      <c r="N48" s="257">
        <f t="shared" si="2"/>
        <v>335</v>
      </c>
      <c r="O48" s="151">
        <v>38</v>
      </c>
      <c r="P48" s="189">
        <v>38</v>
      </c>
      <c r="Q48" s="349">
        <v>1</v>
      </c>
      <c r="R48" s="112" t="s">
        <v>230</v>
      </c>
      <c r="S48" s="312" t="s">
        <v>214</v>
      </c>
      <c r="T48" s="151"/>
      <c r="U48" s="1"/>
      <c r="V48" s="108"/>
      <c r="W48" s="112"/>
      <c r="X48" s="312"/>
      <c r="Y48" s="235"/>
      <c r="Z48" s="186"/>
      <c r="AA48" s="20"/>
      <c r="AB48" s="83"/>
      <c r="AC48" s="278"/>
      <c r="AD48" s="86"/>
      <c r="AE48" s="5"/>
      <c r="AF48" s="26"/>
      <c r="AG48" s="197"/>
      <c r="AH48" s="201"/>
      <c r="AI48" s="2">
        <v>11</v>
      </c>
      <c r="AJ48" s="3">
        <v>11</v>
      </c>
      <c r="AK48" s="26">
        <v>1</v>
      </c>
      <c r="AL48" s="215">
        <f>11/200</f>
        <v>5.5E-2</v>
      </c>
      <c r="AM48" s="151">
        <f>+J48</f>
        <v>63</v>
      </c>
      <c r="AN48" s="188">
        <v>63</v>
      </c>
      <c r="AO48" s="110">
        <f>+AN48/AM48</f>
        <v>1</v>
      </c>
      <c r="AP48" s="175">
        <f>+(AJ48+AN48)/N48</f>
        <v>0.22089552238805971</v>
      </c>
      <c r="AQ48" s="185">
        <v>191</v>
      </c>
      <c r="AR48" s="207">
        <v>99</v>
      </c>
      <c r="AS48" s="20">
        <v>0.51832460732984298</v>
      </c>
      <c r="AT48" s="109">
        <v>0.59655172413793101</v>
      </c>
      <c r="AU48" s="335">
        <f t="shared" si="0"/>
        <v>152</v>
      </c>
      <c r="AV48" s="5">
        <f t="shared" si="3"/>
        <v>38</v>
      </c>
      <c r="AW48" s="20">
        <f>AV48/AU48</f>
        <v>0.25</v>
      </c>
      <c r="AX48" s="267">
        <f>(173+AV48)/335</f>
        <v>0.62985074626865667</v>
      </c>
      <c r="AY48" s="36"/>
      <c r="AZ48" s="37"/>
      <c r="BA48" s="37"/>
      <c r="BB48" s="38"/>
      <c r="BD48" s="96"/>
      <c r="BE48" s="96"/>
      <c r="BF48" s="96"/>
      <c r="BG48" s="96"/>
    </row>
    <row r="49" spans="1:54" ht="144.6" customHeight="1" x14ac:dyDescent="0.25">
      <c r="A49" s="200" t="s">
        <v>137</v>
      </c>
      <c r="B49" s="169">
        <v>26</v>
      </c>
      <c r="C49" s="81" t="s">
        <v>169</v>
      </c>
      <c r="D49" s="82" t="s">
        <v>66</v>
      </c>
      <c r="E49" s="82" t="s">
        <v>170</v>
      </c>
      <c r="F49" s="82" t="s">
        <v>170</v>
      </c>
      <c r="G49" s="3" t="s">
        <v>12</v>
      </c>
      <c r="H49" s="4" t="s">
        <v>69</v>
      </c>
      <c r="I49" s="84">
        <v>1</v>
      </c>
      <c r="J49" s="85">
        <v>1</v>
      </c>
      <c r="K49" s="85">
        <v>1</v>
      </c>
      <c r="L49" s="85">
        <v>1</v>
      </c>
      <c r="M49" s="85">
        <v>1</v>
      </c>
      <c r="N49" s="257">
        <v>1</v>
      </c>
      <c r="O49" s="217">
        <v>0.4</v>
      </c>
      <c r="P49" s="128">
        <v>0.4</v>
      </c>
      <c r="Q49" s="349">
        <v>1</v>
      </c>
      <c r="R49" s="112" t="s">
        <v>202</v>
      </c>
      <c r="S49" s="312" t="s">
        <v>215</v>
      </c>
      <c r="T49" s="151"/>
      <c r="U49" s="1"/>
      <c r="V49" s="106"/>
      <c r="W49" s="112"/>
      <c r="X49" s="312"/>
      <c r="Y49" s="289"/>
      <c r="Z49" s="236"/>
      <c r="AA49" s="26"/>
      <c r="AB49" s="83"/>
      <c r="AC49" s="196"/>
      <c r="AD49" s="86"/>
      <c r="AE49" s="5"/>
      <c r="AF49" s="26"/>
      <c r="AG49" s="197"/>
      <c r="AH49" s="201"/>
      <c r="AI49" s="2">
        <v>1</v>
      </c>
      <c r="AJ49" s="3">
        <v>1</v>
      </c>
      <c r="AK49" s="26">
        <v>1</v>
      </c>
      <c r="AL49" s="153">
        <v>0.2</v>
      </c>
      <c r="AM49" s="151">
        <f>+J49</f>
        <v>1</v>
      </c>
      <c r="AN49" s="188">
        <v>1</v>
      </c>
      <c r="AO49" s="108">
        <f>AN49/AM49</f>
        <v>1</v>
      </c>
      <c r="AP49" s="109">
        <f>AL49+(20%*AO49)</f>
        <v>0.4</v>
      </c>
      <c r="AQ49" s="150">
        <v>1</v>
      </c>
      <c r="AR49" s="207">
        <v>1</v>
      </c>
      <c r="AS49" s="20">
        <v>1</v>
      </c>
      <c r="AT49" s="109">
        <v>0.60000000000000009</v>
      </c>
      <c r="AU49" s="335">
        <f t="shared" si="0"/>
        <v>1</v>
      </c>
      <c r="AV49" s="300">
        <f t="shared" si="3"/>
        <v>0.4</v>
      </c>
      <c r="AW49" s="20">
        <f>AV49/AU49</f>
        <v>0.4</v>
      </c>
      <c r="AX49" s="21">
        <f>AT49+(20%*AW49)</f>
        <v>0.68000000000000016</v>
      </c>
      <c r="AY49" s="15"/>
      <c r="AZ49" s="3"/>
      <c r="BA49" s="3"/>
      <c r="BB49" s="4"/>
    </row>
    <row r="50" spans="1:54" ht="135.6" customHeight="1" x14ac:dyDescent="0.25">
      <c r="A50" s="200" t="s">
        <v>137</v>
      </c>
      <c r="B50" s="169">
        <v>27</v>
      </c>
      <c r="C50" s="81" t="s">
        <v>171</v>
      </c>
      <c r="D50" s="82" t="s">
        <v>66</v>
      </c>
      <c r="E50" s="82" t="s">
        <v>172</v>
      </c>
      <c r="F50" s="83" t="s">
        <v>173</v>
      </c>
      <c r="G50" s="3" t="s">
        <v>16</v>
      </c>
      <c r="H50" s="4" t="s">
        <v>174</v>
      </c>
      <c r="I50" s="84">
        <v>4</v>
      </c>
      <c r="J50" s="85">
        <v>17</v>
      </c>
      <c r="K50" s="85">
        <v>14</v>
      </c>
      <c r="L50" s="85">
        <v>18</v>
      </c>
      <c r="M50" s="85">
        <v>5</v>
      </c>
      <c r="N50" s="257">
        <f t="shared" si="2"/>
        <v>58</v>
      </c>
      <c r="O50" s="151">
        <v>2</v>
      </c>
      <c r="P50" s="189">
        <v>2</v>
      </c>
      <c r="Q50" s="349">
        <v>1</v>
      </c>
      <c r="R50" s="112" t="s">
        <v>203</v>
      </c>
      <c r="S50" s="312" t="s">
        <v>216</v>
      </c>
      <c r="T50" s="151"/>
      <c r="U50" s="1"/>
      <c r="V50" s="106"/>
      <c r="W50" s="112"/>
      <c r="X50" s="312"/>
      <c r="Y50" s="235"/>
      <c r="Z50" s="186"/>
      <c r="AA50" s="187"/>
      <c r="AB50" s="225"/>
      <c r="AC50" s="288"/>
      <c r="AD50" s="86"/>
      <c r="AE50" s="5"/>
      <c r="AF50" s="26"/>
      <c r="AG50" s="197"/>
      <c r="AH50" s="201"/>
      <c r="AI50" s="2">
        <v>4</v>
      </c>
      <c r="AJ50" s="3">
        <v>4</v>
      </c>
      <c r="AK50" s="26">
        <v>1</v>
      </c>
      <c r="AL50" s="215">
        <f>4/58</f>
        <v>6.8965517241379309E-2</v>
      </c>
      <c r="AM50" s="151">
        <v>16</v>
      </c>
      <c r="AN50" s="188">
        <v>17</v>
      </c>
      <c r="AO50" s="108">
        <v>1</v>
      </c>
      <c r="AP50" s="175">
        <f>+(AJ50+AN50)/N50</f>
        <v>0.36206896551724138</v>
      </c>
      <c r="AQ50" s="150">
        <f>K50</f>
        <v>14</v>
      </c>
      <c r="AR50" s="207">
        <v>14</v>
      </c>
      <c r="AS50" s="20">
        <v>1</v>
      </c>
      <c r="AT50" s="109">
        <v>0.6</v>
      </c>
      <c r="AU50" s="335">
        <f t="shared" si="0"/>
        <v>18</v>
      </c>
      <c r="AV50" s="5">
        <f t="shared" si="3"/>
        <v>2</v>
      </c>
      <c r="AW50" s="20">
        <f>AV50/AU50</f>
        <v>0.1111111111111111</v>
      </c>
      <c r="AX50" s="344">
        <f>37/58</f>
        <v>0.63793103448275867</v>
      </c>
      <c r="AY50" s="15"/>
      <c r="AZ50" s="3"/>
      <c r="BA50" s="3"/>
      <c r="BB50" s="4"/>
    </row>
    <row r="51" spans="1:54" ht="237" customHeight="1" x14ac:dyDescent="0.25">
      <c r="A51" s="200" t="s">
        <v>137</v>
      </c>
      <c r="B51" s="169">
        <v>28</v>
      </c>
      <c r="C51" s="81" t="s">
        <v>175</v>
      </c>
      <c r="D51" s="82" t="s">
        <v>94</v>
      </c>
      <c r="E51" s="82" t="s">
        <v>176</v>
      </c>
      <c r="F51" s="83" t="s">
        <v>176</v>
      </c>
      <c r="G51" s="3" t="s">
        <v>16</v>
      </c>
      <c r="H51" s="4" t="s">
        <v>155</v>
      </c>
      <c r="I51" s="84">
        <v>1</v>
      </c>
      <c r="J51" s="85">
        <v>0</v>
      </c>
      <c r="K51" s="85">
        <v>1</v>
      </c>
      <c r="L51" s="85">
        <v>0</v>
      </c>
      <c r="M51" s="85">
        <v>0</v>
      </c>
      <c r="N51" s="257">
        <v>2</v>
      </c>
      <c r="O51" s="151" t="s">
        <v>64</v>
      </c>
      <c r="P51" s="1" t="s">
        <v>64</v>
      </c>
      <c r="Q51" s="106" t="s">
        <v>64</v>
      </c>
      <c r="R51" s="112" t="s">
        <v>240</v>
      </c>
      <c r="S51" s="312" t="s">
        <v>64</v>
      </c>
      <c r="T51" s="151"/>
      <c r="U51" s="1"/>
      <c r="V51" s="1"/>
      <c r="W51" s="112"/>
      <c r="X51" s="312"/>
      <c r="Y51" s="235"/>
      <c r="Z51" s="186"/>
      <c r="AA51" s="214"/>
      <c r="AB51" s="83"/>
      <c r="AC51" s="196"/>
      <c r="AD51" s="235"/>
      <c r="AE51" s="186"/>
      <c r="AF51" s="207"/>
      <c r="AG51" s="83"/>
      <c r="AH51" s="196"/>
      <c r="AI51" s="2">
        <v>1</v>
      </c>
      <c r="AJ51" s="3">
        <v>1</v>
      </c>
      <c r="AK51" s="26">
        <v>1</v>
      </c>
      <c r="AL51" s="153">
        <v>0.5</v>
      </c>
      <c r="AM51" s="151" t="s">
        <v>177</v>
      </c>
      <c r="AN51" s="1" t="s">
        <v>177</v>
      </c>
      <c r="AO51" s="1" t="s">
        <v>177</v>
      </c>
      <c r="AP51" s="107">
        <v>0.5</v>
      </c>
      <c r="AQ51" s="2">
        <v>1</v>
      </c>
      <c r="AR51" s="3">
        <v>1</v>
      </c>
      <c r="AS51" s="26">
        <v>1</v>
      </c>
      <c r="AT51" s="29">
        <v>1</v>
      </c>
      <c r="AU51" s="335" t="s">
        <v>244</v>
      </c>
      <c r="AV51" s="3" t="s">
        <v>244</v>
      </c>
      <c r="AW51" s="3" t="s">
        <v>244</v>
      </c>
      <c r="AX51" s="27">
        <v>1</v>
      </c>
      <c r="AY51" s="15"/>
      <c r="AZ51" s="3"/>
      <c r="BA51" s="3"/>
      <c r="BB51" s="4"/>
    </row>
    <row r="52" spans="1:54" ht="297.75" customHeight="1" x14ac:dyDescent="0.25">
      <c r="A52" s="200" t="s">
        <v>178</v>
      </c>
      <c r="B52" s="169">
        <v>29</v>
      </c>
      <c r="C52" s="81" t="s">
        <v>179</v>
      </c>
      <c r="D52" s="82" t="s">
        <v>180</v>
      </c>
      <c r="E52" s="82" t="s">
        <v>181</v>
      </c>
      <c r="F52" s="83" t="s">
        <v>182</v>
      </c>
      <c r="G52" s="3" t="s">
        <v>12</v>
      </c>
      <c r="H52" s="4" t="s">
        <v>69</v>
      </c>
      <c r="I52" s="84">
        <v>1</v>
      </c>
      <c r="J52" s="85">
        <v>1</v>
      </c>
      <c r="K52" s="85">
        <v>1</v>
      </c>
      <c r="L52" s="85">
        <v>1</v>
      </c>
      <c r="M52" s="85">
        <v>1</v>
      </c>
      <c r="N52" s="257">
        <v>1</v>
      </c>
      <c r="O52" s="151">
        <v>0.25</v>
      </c>
      <c r="P52" s="1">
        <v>0.25</v>
      </c>
      <c r="Q52" s="106">
        <v>1</v>
      </c>
      <c r="R52" s="112" t="s">
        <v>241</v>
      </c>
      <c r="S52" s="312" t="s">
        <v>242</v>
      </c>
      <c r="T52" s="151"/>
      <c r="U52" s="1"/>
      <c r="V52" s="106"/>
      <c r="W52" s="112"/>
      <c r="X52" s="312"/>
      <c r="Y52" s="241"/>
      <c r="Z52" s="208"/>
      <c r="AA52" s="181"/>
      <c r="AB52" s="83"/>
      <c r="AC52" s="196"/>
      <c r="AD52" s="241"/>
      <c r="AE52" s="208"/>
      <c r="AF52" s="92"/>
      <c r="AG52" s="197"/>
      <c r="AH52" s="201"/>
      <c r="AI52" s="2">
        <v>1</v>
      </c>
      <c r="AJ52" s="3">
        <v>1</v>
      </c>
      <c r="AK52" s="26">
        <v>1</v>
      </c>
      <c r="AL52" s="153">
        <v>0.2</v>
      </c>
      <c r="AM52" s="151">
        <v>1</v>
      </c>
      <c r="AN52" s="189">
        <v>1</v>
      </c>
      <c r="AO52" s="108">
        <f>AN52/AM52</f>
        <v>1</v>
      </c>
      <c r="AP52" s="109">
        <f>20%+(20%*AO52)</f>
        <v>0.4</v>
      </c>
      <c r="AQ52" s="2">
        <v>1</v>
      </c>
      <c r="AR52" s="91">
        <v>1</v>
      </c>
      <c r="AS52" s="26">
        <v>1</v>
      </c>
      <c r="AT52" s="27">
        <v>0.60000000000000009</v>
      </c>
      <c r="AU52" s="335">
        <f t="shared" si="0"/>
        <v>1</v>
      </c>
      <c r="AV52" s="3">
        <v>0.25</v>
      </c>
      <c r="AW52" s="26">
        <v>0.25</v>
      </c>
      <c r="AX52" s="27">
        <f>AT52+(20%*AW52)</f>
        <v>0.65000000000000013</v>
      </c>
      <c r="AY52" s="15"/>
      <c r="AZ52" s="3"/>
      <c r="BA52" s="3"/>
      <c r="BB52" s="4"/>
    </row>
    <row r="53" spans="1:54" ht="267.75" x14ac:dyDescent="0.25">
      <c r="A53" s="200" t="s">
        <v>178</v>
      </c>
      <c r="B53" s="169">
        <v>30</v>
      </c>
      <c r="C53" s="81" t="s">
        <v>183</v>
      </c>
      <c r="D53" s="82" t="s">
        <v>184</v>
      </c>
      <c r="E53" s="82" t="s">
        <v>185</v>
      </c>
      <c r="F53" s="83" t="s">
        <v>186</v>
      </c>
      <c r="G53" s="3" t="s">
        <v>12</v>
      </c>
      <c r="H53" s="4" t="s">
        <v>57</v>
      </c>
      <c r="I53" s="89">
        <v>1</v>
      </c>
      <c r="J53" s="90">
        <v>1</v>
      </c>
      <c r="K53" s="90">
        <v>1</v>
      </c>
      <c r="L53" s="90">
        <v>1</v>
      </c>
      <c r="M53" s="90">
        <v>1</v>
      </c>
      <c r="N53" s="306">
        <v>1</v>
      </c>
      <c r="O53" s="159">
        <v>0.14000000000000001</v>
      </c>
      <c r="P53" s="106">
        <v>0.14000000000000001</v>
      </c>
      <c r="Q53" s="108">
        <v>1</v>
      </c>
      <c r="R53" s="112" t="s">
        <v>246</v>
      </c>
      <c r="S53" s="312" t="s">
        <v>243</v>
      </c>
      <c r="T53" s="237"/>
      <c r="U53" s="238"/>
      <c r="V53" s="238"/>
      <c r="W53" s="112"/>
      <c r="X53" s="312"/>
      <c r="Y53" s="86"/>
      <c r="Z53" s="5"/>
      <c r="AA53" s="20"/>
      <c r="AB53" s="224"/>
      <c r="AC53" s="196"/>
      <c r="AD53" s="86"/>
      <c r="AE53" s="5"/>
      <c r="AF53" s="26"/>
      <c r="AG53" s="294"/>
      <c r="AH53" s="201"/>
      <c r="AI53" s="180">
        <v>1</v>
      </c>
      <c r="AJ53" s="92">
        <f>7/7</f>
        <v>1</v>
      </c>
      <c r="AK53" s="26">
        <v>1</v>
      </c>
      <c r="AL53" s="153">
        <v>0.2</v>
      </c>
      <c r="AM53" s="159">
        <v>1</v>
      </c>
      <c r="AN53" s="108">
        <f>6/6</f>
        <v>1</v>
      </c>
      <c r="AO53" s="108">
        <f>(AN53/AM53)</f>
        <v>1</v>
      </c>
      <c r="AP53" s="109">
        <f>AL53+(20%*AN53)</f>
        <v>0.4</v>
      </c>
      <c r="AQ53" s="180">
        <v>1</v>
      </c>
      <c r="AR53" s="92">
        <v>1</v>
      </c>
      <c r="AS53" s="92">
        <v>1</v>
      </c>
      <c r="AT53" s="29">
        <v>0.6</v>
      </c>
      <c r="AU53" s="9">
        <f t="shared" si="0"/>
        <v>1</v>
      </c>
      <c r="AV53" s="26">
        <v>0.14000000000000001</v>
      </c>
      <c r="AW53" s="26">
        <f>AV53/AU53</f>
        <v>0.14000000000000001</v>
      </c>
      <c r="AX53" s="27">
        <f>AT53+(20%*AW53)</f>
        <v>0.628</v>
      </c>
      <c r="AY53" s="15"/>
      <c r="AZ53" s="3"/>
      <c r="BA53" s="3"/>
      <c r="BB53" s="4"/>
    </row>
    <row r="54" spans="1:54" ht="366.75" customHeight="1" x14ac:dyDescent="0.25">
      <c r="A54" s="200" t="s">
        <v>178</v>
      </c>
      <c r="B54" s="167">
        <v>31</v>
      </c>
      <c r="C54" s="137" t="s">
        <v>187</v>
      </c>
      <c r="D54" s="82" t="s">
        <v>188</v>
      </c>
      <c r="E54" s="82" t="s">
        <v>189</v>
      </c>
      <c r="F54" s="82" t="s">
        <v>189</v>
      </c>
      <c r="G54" s="3" t="s">
        <v>10</v>
      </c>
      <c r="H54" s="4" t="s">
        <v>112</v>
      </c>
      <c r="I54" s="84">
        <v>0.1</v>
      </c>
      <c r="J54" s="85">
        <v>0.4</v>
      </c>
      <c r="K54" s="85">
        <v>0.75</v>
      </c>
      <c r="L54" s="85">
        <v>0.95</v>
      </c>
      <c r="M54" s="85">
        <v>1</v>
      </c>
      <c r="N54" s="257">
        <v>1</v>
      </c>
      <c r="O54" s="174">
        <v>7.0000000000000001E-3</v>
      </c>
      <c r="P54" s="173">
        <v>7.0000000000000001E-3</v>
      </c>
      <c r="Q54" s="106">
        <v>1</v>
      </c>
      <c r="R54" s="112" t="s">
        <v>252</v>
      </c>
      <c r="S54" s="312" t="s">
        <v>253</v>
      </c>
      <c r="T54" s="174"/>
      <c r="U54" s="173"/>
      <c r="V54" s="106"/>
      <c r="W54" s="112"/>
      <c r="X54" s="312"/>
      <c r="Y54" s="242"/>
      <c r="Z54" s="176"/>
      <c r="AA54" s="181"/>
      <c r="AB54" s="224"/>
      <c r="AC54" s="201"/>
      <c r="AD54" s="86"/>
      <c r="AE54" s="5"/>
      <c r="AF54" s="92"/>
      <c r="AG54" s="243"/>
      <c r="AH54" s="201"/>
      <c r="AI54" s="2">
        <v>0.1</v>
      </c>
      <c r="AJ54" s="3">
        <v>0.1</v>
      </c>
      <c r="AK54" s="143">
        <v>1</v>
      </c>
      <c r="AL54" s="202">
        <v>0.1</v>
      </c>
      <c r="AM54" s="151">
        <v>0.4</v>
      </c>
      <c r="AN54" s="216">
        <v>0.4</v>
      </c>
      <c r="AO54" s="108">
        <f>AN54/AM54</f>
        <v>1</v>
      </c>
      <c r="AP54" s="109">
        <f>AN54/N54</f>
        <v>0.4</v>
      </c>
      <c r="AQ54" s="2">
        <v>0.75</v>
      </c>
      <c r="AR54" s="198">
        <v>0.75</v>
      </c>
      <c r="AS54" s="37">
        <v>1</v>
      </c>
      <c r="AT54" s="29">
        <v>0.75</v>
      </c>
      <c r="AU54" s="333">
        <f t="shared" si="0"/>
        <v>0.95</v>
      </c>
      <c r="AV54" s="113">
        <f>AR54+O54</f>
        <v>0.75700000000000001</v>
      </c>
      <c r="AW54" s="357">
        <f>AV54/AU54</f>
        <v>0.79684210526315791</v>
      </c>
      <c r="AX54" s="21">
        <v>0.76</v>
      </c>
      <c r="AY54" s="15"/>
      <c r="AZ54" s="3"/>
      <c r="BA54" s="3"/>
      <c r="BB54" s="4"/>
    </row>
    <row r="55" spans="1:54" ht="408.75" customHeight="1" x14ac:dyDescent="0.25">
      <c r="A55" s="200" t="s">
        <v>178</v>
      </c>
      <c r="B55" s="167">
        <v>31</v>
      </c>
      <c r="C55" s="137" t="s">
        <v>187</v>
      </c>
      <c r="D55" s="82" t="s">
        <v>188</v>
      </c>
      <c r="E55" s="82" t="s">
        <v>190</v>
      </c>
      <c r="F55" s="82" t="s">
        <v>190</v>
      </c>
      <c r="G55" s="3" t="s">
        <v>10</v>
      </c>
      <c r="H55" s="4" t="s">
        <v>112</v>
      </c>
      <c r="I55" s="84">
        <v>0.1</v>
      </c>
      <c r="J55" s="85">
        <v>0.4</v>
      </c>
      <c r="K55" s="85">
        <v>0.75</v>
      </c>
      <c r="L55" s="85">
        <v>1</v>
      </c>
      <c r="M55" s="85">
        <v>0</v>
      </c>
      <c r="N55" s="257">
        <v>1</v>
      </c>
      <c r="O55" s="174" t="s">
        <v>254</v>
      </c>
      <c r="P55" s="173" t="s">
        <v>254</v>
      </c>
      <c r="Q55" s="106" t="s">
        <v>255</v>
      </c>
      <c r="R55" s="112" t="s">
        <v>256</v>
      </c>
      <c r="S55" s="312" t="s">
        <v>257</v>
      </c>
      <c r="T55" s="174"/>
      <c r="U55" s="173"/>
      <c r="V55" s="106"/>
      <c r="W55" s="112"/>
      <c r="X55" s="312"/>
      <c r="Y55" s="242"/>
      <c r="Z55" s="176"/>
      <c r="AA55" s="181"/>
      <c r="AB55" s="83"/>
      <c r="AC55" s="201"/>
      <c r="AD55" s="86"/>
      <c r="AE55" s="5"/>
      <c r="AF55" s="92"/>
      <c r="AG55" s="197"/>
      <c r="AH55" s="201"/>
      <c r="AI55" s="2">
        <v>0.1</v>
      </c>
      <c r="AJ55" s="3">
        <v>0.1</v>
      </c>
      <c r="AK55" s="20">
        <v>1</v>
      </c>
      <c r="AL55" s="202">
        <v>0.1</v>
      </c>
      <c r="AM55" s="151">
        <v>0.4</v>
      </c>
      <c r="AN55" s="128">
        <v>0.4</v>
      </c>
      <c r="AO55" s="108">
        <f>AN55/AM55</f>
        <v>1</v>
      </c>
      <c r="AP55" s="109">
        <f>AN55/N55</f>
        <v>0.4</v>
      </c>
      <c r="AQ55" s="2">
        <v>0.75</v>
      </c>
      <c r="AR55" s="198">
        <v>0.75</v>
      </c>
      <c r="AS55" s="92">
        <v>0.99999999999999989</v>
      </c>
      <c r="AT55" s="29">
        <v>0.74999999999999989</v>
      </c>
      <c r="AU55" s="335">
        <f t="shared" si="0"/>
        <v>1</v>
      </c>
      <c r="AV55" s="5">
        <v>0.75</v>
      </c>
      <c r="AW55" s="357">
        <f>AV55/AU55</f>
        <v>0.75</v>
      </c>
      <c r="AX55" s="21">
        <v>0.75</v>
      </c>
      <c r="AY55" s="15"/>
      <c r="AZ55" s="3"/>
      <c r="BA55" s="3"/>
      <c r="BB55" s="4"/>
    </row>
    <row r="56" spans="1:54" ht="141.75" customHeight="1" thickBot="1" x14ac:dyDescent="0.3">
      <c r="A56" s="200" t="s">
        <v>178</v>
      </c>
      <c r="B56" s="172">
        <v>32</v>
      </c>
      <c r="C56" s="97" t="s">
        <v>191</v>
      </c>
      <c r="D56" s="98" t="s">
        <v>192</v>
      </c>
      <c r="E56" s="98" t="s">
        <v>193</v>
      </c>
      <c r="F56" s="99" t="s">
        <v>193</v>
      </c>
      <c r="G56" s="7" t="s">
        <v>12</v>
      </c>
      <c r="H56" s="8" t="s">
        <v>194</v>
      </c>
      <c r="I56" s="100">
        <v>1</v>
      </c>
      <c r="J56" s="101">
        <v>1</v>
      </c>
      <c r="K56" s="101">
        <v>1</v>
      </c>
      <c r="L56" s="101">
        <v>1</v>
      </c>
      <c r="M56" s="101">
        <v>1</v>
      </c>
      <c r="N56" s="307">
        <v>1</v>
      </c>
      <c r="O56" s="162">
        <v>0.25</v>
      </c>
      <c r="P56" s="111">
        <v>0.25</v>
      </c>
      <c r="Q56" s="126">
        <v>1</v>
      </c>
      <c r="R56" s="338" t="s">
        <v>263</v>
      </c>
      <c r="S56" s="316" t="s">
        <v>264</v>
      </c>
      <c r="T56" s="162"/>
      <c r="U56" s="111"/>
      <c r="V56" s="126"/>
      <c r="W56" s="122"/>
      <c r="X56" s="316"/>
      <c r="Y56" s="255"/>
      <c r="Z56" s="178"/>
      <c r="AA56" s="179"/>
      <c r="AB56" s="102"/>
      <c r="AC56" s="103"/>
      <c r="AD56" s="255"/>
      <c r="AE56" s="178"/>
      <c r="AF56" s="179"/>
      <c r="AG56" s="102"/>
      <c r="AH56" s="103"/>
      <c r="AI56" s="125">
        <v>1</v>
      </c>
      <c r="AJ56" s="7">
        <v>1</v>
      </c>
      <c r="AK56" s="104">
        <v>1</v>
      </c>
      <c r="AL56" s="154">
        <v>0.2</v>
      </c>
      <c r="AM56" s="162">
        <v>1</v>
      </c>
      <c r="AN56" s="111">
        <v>1</v>
      </c>
      <c r="AO56" s="126">
        <v>1</v>
      </c>
      <c r="AP56" s="127">
        <f>AL56+(20%*AO56)</f>
        <v>0.4</v>
      </c>
      <c r="AQ56" s="125">
        <v>1</v>
      </c>
      <c r="AR56" s="7">
        <v>1</v>
      </c>
      <c r="AS56" s="104">
        <v>1</v>
      </c>
      <c r="AT56" s="259">
        <v>0.60000000000000009</v>
      </c>
      <c r="AU56" s="335">
        <f t="shared" si="0"/>
        <v>1</v>
      </c>
      <c r="AV56" s="7">
        <v>0.25</v>
      </c>
      <c r="AW56" s="365">
        <f>AV56/AU56</f>
        <v>0.25</v>
      </c>
      <c r="AX56" s="366">
        <f>AT56+(20%*AW56)</f>
        <v>0.65000000000000013</v>
      </c>
      <c r="AY56" s="39"/>
      <c r="AZ56" s="7"/>
      <c r="BA56" s="7"/>
      <c r="BB56" s="8"/>
    </row>
    <row r="57" spans="1:54" x14ac:dyDescent="0.25">
      <c r="F57" s="59"/>
      <c r="R57" s="339"/>
      <c r="AA57" s="105"/>
    </row>
    <row r="58" spans="1:54" x14ac:dyDescent="0.25">
      <c r="F58" s="59"/>
      <c r="R58" s="340"/>
      <c r="AA58" s="105"/>
      <c r="AW58" s="356"/>
    </row>
    <row r="59" spans="1:54" x14ac:dyDescent="0.25">
      <c r="F59" s="59"/>
      <c r="R59" s="340"/>
      <c r="AA59" s="105"/>
    </row>
    <row r="60" spans="1:54" x14ac:dyDescent="0.25">
      <c r="F60" s="59"/>
      <c r="R60" s="57"/>
      <c r="AA60" s="105"/>
    </row>
    <row r="61" spans="1:54" x14ac:dyDescent="0.25">
      <c r="F61" s="59"/>
      <c r="AA61" s="105"/>
    </row>
    <row r="62" spans="1:54" x14ac:dyDescent="0.25">
      <c r="F62" s="59"/>
      <c r="AA62" s="105"/>
    </row>
    <row r="63" spans="1:54" x14ac:dyDescent="0.25">
      <c r="F63" s="59"/>
      <c r="AA63" s="105"/>
    </row>
    <row r="64" spans="1:54" x14ac:dyDescent="0.25">
      <c r="F64" s="59"/>
      <c r="AA64" s="105"/>
    </row>
    <row r="65" spans="6:27" x14ac:dyDescent="0.25">
      <c r="F65" s="59"/>
      <c r="AA65" s="105"/>
    </row>
    <row r="66" spans="6:27" x14ac:dyDescent="0.25">
      <c r="F66" s="59"/>
      <c r="AA66" s="105"/>
    </row>
    <row r="67" spans="6:27" x14ac:dyDescent="0.25">
      <c r="F67" s="59"/>
      <c r="AA67" s="105"/>
    </row>
    <row r="68" spans="6:27" x14ac:dyDescent="0.25">
      <c r="F68" s="59"/>
      <c r="AA68" s="105"/>
    </row>
    <row r="69" spans="6:27" x14ac:dyDescent="0.25">
      <c r="F69" s="59"/>
      <c r="AA69" s="105"/>
    </row>
    <row r="70" spans="6:27" x14ac:dyDescent="0.25">
      <c r="F70" s="59"/>
      <c r="AA70" s="105"/>
    </row>
    <row r="71" spans="6:27" x14ac:dyDescent="0.25">
      <c r="F71" s="59"/>
      <c r="AA71" s="105"/>
    </row>
    <row r="72" spans="6:27" x14ac:dyDescent="0.25">
      <c r="F72" s="59"/>
      <c r="AA72" s="105"/>
    </row>
    <row r="73" spans="6:27" x14ac:dyDescent="0.25">
      <c r="F73" s="59"/>
      <c r="AA73" s="105"/>
    </row>
    <row r="74" spans="6:27" x14ac:dyDescent="0.25">
      <c r="F74" s="59"/>
      <c r="AA74" s="105"/>
    </row>
    <row r="75" spans="6:27" x14ac:dyDescent="0.25">
      <c r="F75" s="59"/>
      <c r="AA75" s="105"/>
    </row>
    <row r="76" spans="6:27" x14ac:dyDescent="0.25">
      <c r="F76" s="59"/>
      <c r="AA76" s="105"/>
    </row>
    <row r="77" spans="6:27" x14ac:dyDescent="0.25">
      <c r="F77" s="59"/>
      <c r="AA77" s="105"/>
    </row>
    <row r="78" spans="6:27" x14ac:dyDescent="0.25">
      <c r="F78" s="59"/>
      <c r="AA78" s="105"/>
    </row>
    <row r="79" spans="6:27" x14ac:dyDescent="0.25">
      <c r="F79" s="59"/>
      <c r="AA79" s="105"/>
    </row>
    <row r="80" spans="6:27" x14ac:dyDescent="0.25">
      <c r="F80" s="59"/>
      <c r="AA80" s="105"/>
    </row>
    <row r="81" spans="6:27" x14ac:dyDescent="0.25">
      <c r="F81" s="59"/>
      <c r="AA81" s="105"/>
    </row>
    <row r="82" spans="6:27" x14ac:dyDescent="0.25">
      <c r="F82" s="59"/>
      <c r="AA82" s="105"/>
    </row>
    <row r="83" spans="6:27" x14ac:dyDescent="0.25">
      <c r="F83" s="59"/>
      <c r="AA83" s="105"/>
    </row>
    <row r="84" spans="6:27" x14ac:dyDescent="0.25">
      <c r="F84" s="59"/>
      <c r="AA84" s="105"/>
    </row>
    <row r="85" spans="6:27" x14ac:dyDescent="0.25">
      <c r="F85" s="59"/>
      <c r="AA85" s="105"/>
    </row>
    <row r="86" spans="6:27" x14ac:dyDescent="0.25">
      <c r="F86" s="59"/>
      <c r="AA86" s="105"/>
    </row>
    <row r="87" spans="6:27" x14ac:dyDescent="0.25">
      <c r="F87" s="59"/>
      <c r="AA87" s="105"/>
    </row>
    <row r="88" spans="6:27" x14ac:dyDescent="0.25">
      <c r="F88" s="59"/>
      <c r="AA88" s="105"/>
    </row>
    <row r="89" spans="6:27" x14ac:dyDescent="0.25">
      <c r="F89" s="59"/>
      <c r="AA89" s="105"/>
    </row>
    <row r="90" spans="6:27" x14ac:dyDescent="0.25">
      <c r="F90" s="59"/>
      <c r="AA90" s="105"/>
    </row>
    <row r="91" spans="6:27" x14ac:dyDescent="0.25">
      <c r="F91" s="59"/>
      <c r="AA91" s="105"/>
    </row>
  </sheetData>
  <sheetProtection autoFilter="0"/>
  <autoFilter ref="A21:BQ56" xr:uid="{00000000-0001-0000-0000-000000000000}"/>
  <mergeCells count="31">
    <mergeCell ref="O19:S20"/>
    <mergeCell ref="Y19:AC20"/>
    <mergeCell ref="H20:H21"/>
    <mergeCell ref="G20:G21"/>
    <mergeCell ref="F1:AI5"/>
    <mergeCell ref="F8:G8"/>
    <mergeCell ref="J16:N16"/>
    <mergeCell ref="A7:E7"/>
    <mergeCell ref="A18:AH18"/>
    <mergeCell ref="H13:N13"/>
    <mergeCell ref="J14:N14"/>
    <mergeCell ref="AB15:AI15"/>
    <mergeCell ref="A8:E8"/>
    <mergeCell ref="F7:G7"/>
    <mergeCell ref="J15:N15"/>
    <mergeCell ref="AY20:BB20"/>
    <mergeCell ref="AI19:BB19"/>
    <mergeCell ref="A19:N19"/>
    <mergeCell ref="D20:D21"/>
    <mergeCell ref="C20:C21"/>
    <mergeCell ref="B20:B21"/>
    <mergeCell ref="A20:A21"/>
    <mergeCell ref="E20:E21"/>
    <mergeCell ref="T19:X20"/>
    <mergeCell ref="I20:N20"/>
    <mergeCell ref="AM20:AP20"/>
    <mergeCell ref="AQ20:AT20"/>
    <mergeCell ref="AU20:AX20"/>
    <mergeCell ref="AD19:AH20"/>
    <mergeCell ref="AI20:AL20"/>
    <mergeCell ref="F20:F21"/>
  </mergeCells>
  <phoneticPr fontId="11" type="noConversion"/>
  <dataValidations xWindow="1209" yWindow="636" count="4">
    <dataValidation type="list" allowBlank="1" showInputMessage="1" showErrorMessage="1" sqref="G22:G56"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R19:R32 W55 W51 W32 W39:W40 R34:R36 R39 R41:R65528" xr:uid="{00000000-0002-0000-0000-000001000000}">
      <formula1>1</formula1>
      <formula2>2500</formula2>
    </dataValidation>
    <dataValidation type="textLength" allowBlank="1" showInputMessage="1" showErrorMessage="1" error="Por favor ingresar máximo 2500 caracteres, incluido espacios. " sqref="R38" xr:uid="{D28323ED-7875-4C81-87FB-20B7D53712BB}">
      <formula1>1</formula1>
      <formula2>2500</formula2>
    </dataValidation>
    <dataValidation allowBlank="1" showInputMessage="1" showErrorMessage="1" error="Por favor incluir máximo 2.500 caracteres, incluido espacios." sqref="A1:N18 R1:R18 T1:AI18" xr:uid="{00000000-0002-0000-0000-000002000000}"/>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Camilo Bautista Beltran</cp:lastModifiedBy>
  <cp:revision/>
  <dcterms:created xsi:type="dcterms:W3CDTF">2020-10-22T20:23:49Z</dcterms:created>
  <dcterms:modified xsi:type="dcterms:W3CDTF">2023-04-26T10:42:48Z</dcterms:modified>
  <cp:category/>
  <cp:contentStatus/>
</cp:coreProperties>
</file>